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xl/pivotTables/pivotTable1.xml" ContentType="application/vnd.openxmlformats-officedocument.spreadsheetml.pivotTable+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32767" yWindow="32767" windowWidth="21570" windowHeight="10215" activeTab="0"/>
  </bookViews>
  <sheets>
    <sheet name="LHV 2020 eelarve pr" sheetId="1" r:id="rId1"/>
    <sheet name="Õpilaste ja lasteaialaste arv" sheetId="2" r:id="rId2"/>
    <sheet name="Lasteaedade ja koolide kulud" sheetId="3" r:id="rId3"/>
    <sheet name="Koolidele ja lasteaedadele" sheetId="4" r:id="rId4"/>
    <sheet name="Sheet1" sheetId="5" r:id="rId5"/>
    <sheet name="Investeeringute soovid" sheetId="6" state="hidden" r:id="rId6"/>
    <sheet name="Sots komisjoni ettepanekud" sheetId="7" state="hidden" r:id="rId7"/>
  </sheets>
  <externalReferences>
    <externalReference r:id="rId11"/>
  </externalReferences>
  <definedNames/>
  <calcPr fullCalcOnLoad="1"/>
  <pivotCaches>
    <pivotCache cacheId="1" r:id="rId8"/>
  </pivotCaches>
</workbook>
</file>

<file path=xl/sharedStrings.xml><?xml version="1.0" encoding="utf-8"?>
<sst xmlns="http://schemas.openxmlformats.org/spreadsheetml/2006/main" count="575" uniqueCount="302">
  <si>
    <t>Artikkel</t>
  </si>
  <si>
    <t>Kirjeldus</t>
  </si>
  <si>
    <t>Tulud kokku</t>
  </si>
  <si>
    <t>Maksud</t>
  </si>
  <si>
    <t>Füüsilise isiku tulumaks</t>
  </si>
  <si>
    <t>Maamaks</t>
  </si>
  <si>
    <t>Kaupade ja teenuste müük</t>
  </si>
  <si>
    <t>Riigilõiv</t>
  </si>
  <si>
    <t>Toetused</t>
  </si>
  <si>
    <t>Materiaalsete ja immateriaalsete varade müük</t>
  </si>
  <si>
    <t>1. Põhitegevuse tulud</t>
  </si>
  <si>
    <t>2. Põhitegevuse kulud</t>
  </si>
  <si>
    <t>4-6</t>
  </si>
  <si>
    <t>Kulud kokku</t>
  </si>
  <si>
    <t>Eraldised kokku</t>
  </si>
  <si>
    <t>10402</t>
  </si>
  <si>
    <t>Sünni-, kooli-, üksikvanema- jm peretoetused</t>
  </si>
  <si>
    <t>10701</t>
  </si>
  <si>
    <t>Toimetulekutoetused</t>
  </si>
  <si>
    <t>10121</t>
  </si>
  <si>
    <t>10900</t>
  </si>
  <si>
    <t>Matuse- jm. ühekordsed toetused</t>
  </si>
  <si>
    <t>Erijuhtudel makstav sotsiaalmaks</t>
  </si>
  <si>
    <t>08102</t>
  </si>
  <si>
    <t>Palgafond kokku</t>
  </si>
  <si>
    <t>01111</t>
  </si>
  <si>
    <t>01112</t>
  </si>
  <si>
    <t>08201</t>
  </si>
  <si>
    <t>09110</t>
  </si>
  <si>
    <t>Lasteaiad</t>
  </si>
  <si>
    <t>Majanduskulud kokku</t>
  </si>
  <si>
    <t>04510</t>
  </si>
  <si>
    <t>Teede ja tänavate teehoid</t>
  </si>
  <si>
    <t>04740</t>
  </si>
  <si>
    <t>05100</t>
  </si>
  <si>
    <t>Jäätmekäitlus (prügivedu)</t>
  </si>
  <si>
    <t>06400</t>
  </si>
  <si>
    <t>Tänavavalgustus</t>
  </si>
  <si>
    <t>06605</t>
  </si>
  <si>
    <t>Kultuuriüritused</t>
  </si>
  <si>
    <t>08300</t>
  </si>
  <si>
    <t>Ringhäälingu- ja kirjastamisteenused</t>
  </si>
  <si>
    <t>Eelharidus (lasteaiad)</t>
  </si>
  <si>
    <t>teistele KOV--idele makstavad kohatasud</t>
  </si>
  <si>
    <t>Muu sotsiaalne kaitse</t>
  </si>
  <si>
    <t>Muud kulud</t>
  </si>
  <si>
    <t>01700</t>
  </si>
  <si>
    <t>Reserv</t>
  </si>
  <si>
    <t>Põhitegevuse tulem</t>
  </si>
  <si>
    <t>Investeeringud</t>
  </si>
  <si>
    <t>3. Investeerimistegevus</t>
  </si>
  <si>
    <t>Põhivara soetuseks saadavad toetused</t>
  </si>
  <si>
    <t>Investeerimistegevuse laekumised kokku</t>
  </si>
  <si>
    <t>Võetud laenude tagasimaksmine</t>
  </si>
  <si>
    <t>4. Finantseerimistegevus</t>
  </si>
  <si>
    <t>Investeerimistegevus kokku</t>
  </si>
  <si>
    <t>Maksud, lõivud, trahvid</t>
  </si>
  <si>
    <t>04512</t>
  </si>
  <si>
    <t>05600</t>
  </si>
  <si>
    <t>20.6</t>
  </si>
  <si>
    <t>20.5</t>
  </si>
  <si>
    <t>Uute laenude võtmine</t>
  </si>
  <si>
    <t>09212</t>
  </si>
  <si>
    <t>Põhikoolid</t>
  </si>
  <si>
    <t>Gümnaasium</t>
  </si>
  <si>
    <t>Intress võetud laenudelt</t>
  </si>
  <si>
    <t>MTÜ-d ja muud ühingud - ettevõtlus</t>
  </si>
  <si>
    <t>MTÜ-d ja muud ühingud - sport</t>
  </si>
  <si>
    <t>MTÜ-d ja muud ühingud - ühiskondlik tegevus</t>
  </si>
  <si>
    <t>04900</t>
  </si>
  <si>
    <t>Paldiski Vene Põhikool</t>
  </si>
  <si>
    <t>Liikmemaksud (HOL, Koostöökogu)</t>
  </si>
  <si>
    <t>Liikmemaksud (Harjumaa Ühistransp. keskus)</t>
  </si>
  <si>
    <t>09800</t>
  </si>
  <si>
    <t>Lapsehoiuteenuse toetus</t>
  </si>
  <si>
    <t>09213</t>
  </si>
  <si>
    <t>10201</t>
  </si>
  <si>
    <t>Korterite kommunaalkulud, üür, rent</t>
  </si>
  <si>
    <t>Eelarve tulem (koos investeeringutega)</t>
  </si>
  <si>
    <t>09600</t>
  </si>
  <si>
    <t>Õpilaste transport</t>
  </si>
  <si>
    <t>Vallavolikogu</t>
  </si>
  <si>
    <t>Vallavalitsus</t>
  </si>
  <si>
    <t>Raamatukogud</t>
  </si>
  <si>
    <t>Paldiski lasteaed Naerulind</t>
  </si>
  <si>
    <t>Paldiski lasteaed Sipsik</t>
  </si>
  <si>
    <t>Klooga lasteaed</t>
  </si>
  <si>
    <t>Lehola lasteaed</t>
  </si>
  <si>
    <t>Laulasmaa lasteaed</t>
  </si>
  <si>
    <t>Klooga kool</t>
  </si>
  <si>
    <t>Laulasmaa kool</t>
  </si>
  <si>
    <t>Lehola kool</t>
  </si>
  <si>
    <t>09609</t>
  </si>
  <si>
    <t>Tsentraalsed hariduse abiteenused</t>
  </si>
  <si>
    <t>Muud haridusega seotud kulud, sh haldus</t>
  </si>
  <si>
    <t>08107</t>
  </si>
  <si>
    <t>Huvikeskus/noorsootöö</t>
  </si>
  <si>
    <t>08109</t>
  </si>
  <si>
    <t>Noorte huviharidus</t>
  </si>
  <si>
    <t>09601</t>
  </si>
  <si>
    <t>Koolitoitlustus</t>
  </si>
  <si>
    <t>Tasandusfond</t>
  </si>
  <si>
    <t>Toetusfond</t>
  </si>
  <si>
    <t>Vasalemma lasteaed</t>
  </si>
  <si>
    <t>Rummu lasteaed</t>
  </si>
  <si>
    <t>Territorriaalne planeerimine ja majanduse haldus</t>
  </si>
  <si>
    <t>Vasalemma Põhikool</t>
  </si>
  <si>
    <t>Ämari Põhikool</t>
  </si>
  <si>
    <t>Õpilaste vedu</t>
  </si>
  <si>
    <t>Puudega inimeste toetused</t>
  </si>
  <si>
    <t>08202</t>
  </si>
  <si>
    <t>Rahvakultuur</t>
  </si>
  <si>
    <t>08207</t>
  </si>
  <si>
    <t>Muinsuskaitse (Padise klooster)</t>
  </si>
  <si>
    <t>Padise Põhikool</t>
  </si>
  <si>
    <t>Risti Põhikool</t>
  </si>
  <si>
    <t>Liikmemaksud (KEJHK, Harjumaa ÜK)</t>
  </si>
  <si>
    <t>09510</t>
  </si>
  <si>
    <t>Sporditegevus</t>
  </si>
  <si>
    <t>Muud sotsiaalteenused</t>
  </si>
  <si>
    <t>Hooldekodud</t>
  </si>
  <si>
    <t>Hajaasustuse programm</t>
  </si>
  <si>
    <t>Kloogaranna küla Üleoja tee uue teekoridori projekteeriine</t>
  </si>
  <si>
    <t>Kloogaranna küla Üleoja tee teekoridor+kruusast teealune ehitus</t>
  </si>
  <si>
    <t>Kloogaranna küla Mere tee kõnnitee projekteerimine</t>
  </si>
  <si>
    <t>Koos riigiga</t>
  </si>
  <si>
    <t>Keila Joa Lossi 8 juurde (valla kinnistule) lastemänguväljak</t>
  </si>
  <si>
    <t>Kloogale mänguväljak</t>
  </si>
  <si>
    <t>Maksumus</t>
  </si>
  <si>
    <t>Toetus</t>
  </si>
  <si>
    <t>Oma osalus</t>
  </si>
  <si>
    <t>Muudatusettepanek</t>
  </si>
  <si>
    <t>1. Kuskil (seletuskirjas?) oli mainitud Padise arstipunkti, see tekitas kellelgi küsimuse, et kuna Vasalemmas on ka arstipunkt, aga seda ei olnud mainitud, siis kas seda enam ei toetata. Ühesõnaga ettepanek mainida ära ka Vasalemma arstipunkt või siis üldse mitte kumbagi.</t>
  </si>
  <si>
    <t>2. Seletuskirjas oli tabel õpilaste keskmiste kulude kohta erinevates koolides jm. näitajatega, Klooga koolis oli õpilase kulu üle kahe korra suurem kui näiteks Paldiski Vene Põhikoolis, kas on kindel et see ei sisalda ühekordseid remonditöid või ongi seal õpetamise hind nii kallis?</t>
  </si>
  <si>
    <t>3. Põhivara osas: „Padise teed“, nimetada ümber „Padise piirkonna teed“, sest see ei puuduta mitte ainult Padise küla (kus teed on suhteliselt head), vaid suuremat territooriumi.</t>
  </si>
  <si>
    <t>4. Põhivarade ridade summa peab seletuskirjaga täpselt klappima, liikmetel oli erinevaid tabeleid, kus kogusummad ei olnud võrdsed.</t>
  </si>
  <si>
    <t>Nimetatud</t>
  </si>
  <si>
    <t>Viimane eelarve versioon ja seletuskiri klapivad</t>
  </si>
  <si>
    <t>Eelarve summa sisaldab mõlem arstipunkti kommunaalkulusid.</t>
  </si>
  <si>
    <t>Ettepanek eelarvesse</t>
  </si>
  <si>
    <t>Remondi osa on eraldatud remondi fondi reale.</t>
  </si>
  <si>
    <t>08600</t>
  </si>
  <si>
    <t>Preemiad õpilastele/sportlastele (valla poolt)</t>
  </si>
  <si>
    <t>Preemiad õpilastele/sportlastele (koolide poolt)</t>
  </si>
  <si>
    <t>09400</t>
  </si>
  <si>
    <t>Stipendiumid</t>
  </si>
  <si>
    <t>Kommunaalmajandus (Lahevesi)</t>
  </si>
  <si>
    <t>TA</t>
  </si>
  <si>
    <t>Spordikeskus (ujula kasutamine)</t>
  </si>
  <si>
    <t>Sotsiaalvaldkonna laekumised</t>
  </si>
  <si>
    <t>Muud üüri- ja renditulud</t>
  </si>
  <si>
    <t>Risti lasteaed</t>
  </si>
  <si>
    <t>08103</t>
  </si>
  <si>
    <t>Puhkepargid, mänguväljakud</t>
  </si>
  <si>
    <t>Padise lasteaed</t>
  </si>
  <si>
    <t>Laulasmaa ÜVK</t>
  </si>
  <si>
    <t>Teehoiukava</t>
  </si>
  <si>
    <t>Paldiski Muusikakool</t>
  </si>
  <si>
    <t>Vasalemma Kunstide Kool</t>
  </si>
  <si>
    <t>Paldiski Spordikeskus</t>
  </si>
  <si>
    <t>Muud spordikulud</t>
  </si>
  <si>
    <t xml:space="preserve">Paldiski Vene Põhikooli </t>
  </si>
  <si>
    <t>Paldiski Põhikooli ja Paldiski Ühisgümnaasium</t>
  </si>
  <si>
    <t xml:space="preserve">Paldiski Põhikool </t>
  </si>
  <si>
    <t>06300</t>
  </si>
  <si>
    <t>Paldiski Huvikeskus</t>
  </si>
  <si>
    <t>Klooga Kultuuri- ja Noorsookeskus</t>
  </si>
  <si>
    <t>Klooga Kultuuri- ja Noortekeskus</t>
  </si>
  <si>
    <t xml:space="preserve">LHV 2019.a. eelarve </t>
  </si>
  <si>
    <t>Teiste KOV-ide õpilaste õppemaks ja lasteaedade kohatasu</t>
  </si>
  <si>
    <t>Muud tegevustoetused (katuseraha, PRIA, jn)</t>
  </si>
  <si>
    <t>Lasteaedade õppemaks</t>
  </si>
  <si>
    <t>Muud müügitulud (s.h. Muusikakooli õppemaks)</t>
  </si>
  <si>
    <t>2020 eelarve</t>
  </si>
  <si>
    <t>Kool</t>
  </si>
  <si>
    <t>Õpilaste arv</t>
  </si>
  <si>
    <t>Laulasmaa Kool</t>
  </si>
  <si>
    <t>Paldiski Põhikool</t>
  </si>
  <si>
    <t>Paldiski Ühisgümnaasium</t>
  </si>
  <si>
    <t>Risti Kool</t>
  </si>
  <si>
    <t>Lehola Kool</t>
  </si>
  <si>
    <t>Kokku</t>
  </si>
  <si>
    <t>Lasteaed</t>
  </si>
  <si>
    <t>Laste arv</t>
  </si>
  <si>
    <t>Palgakulu</t>
  </si>
  <si>
    <t>Palgakulu 1 lapse kohta</t>
  </si>
  <si>
    <t>Märkused</t>
  </si>
  <si>
    <t>alatäidetud</t>
  </si>
  <si>
    <t>Majanduskulu kokku</t>
  </si>
  <si>
    <t>Majanduskulu 1 lapse kohta</t>
  </si>
  <si>
    <t>Laulasmaa kool ja lasteaed</t>
  </si>
  <si>
    <t>Paldiski Põhikool ja Paldiski Ühisgümnaasium</t>
  </si>
  <si>
    <t>Risti Põhikool ja lasteaed</t>
  </si>
  <si>
    <t>LHV Tugikeskuse elanike omaosalus 35 000€</t>
  </si>
  <si>
    <t>Karjaküla sotsiaalkeskuse renoveerimise omaosalus</t>
  </si>
  <si>
    <t>Lehola spordiväljak</t>
  </si>
  <si>
    <t>Vasalemma ja Padise tänavavalgustused</t>
  </si>
  <si>
    <t>Netosumma</t>
  </si>
  <si>
    <t>abipersonal, kokad on koolide kulu koosseisus</t>
  </si>
  <si>
    <t>Mooduli rent+toetus hoone ülalpidamiseks</t>
  </si>
  <si>
    <t>Normatiivne kohtade arv</t>
  </si>
  <si>
    <t>Täituvuse %</t>
  </si>
  <si>
    <t>Muud tulud (ressursitasud, hooldekodude omaosalus, jne)</t>
  </si>
  <si>
    <t xml:space="preserve">Kloogaranna rannaala väljaarendamine </t>
  </si>
  <si>
    <t>Padise rahvamaja katus</t>
  </si>
  <si>
    <t>Laulasmaa kool ja spordihoone</t>
  </si>
  <si>
    <t>Korterite avariiremont</t>
  </si>
  <si>
    <t>Laulasmaa kooli ja spordihoone</t>
  </si>
  <si>
    <t xml:space="preserve">Majanduskulud </t>
  </si>
  <si>
    <t>Õpilaste arv 2018</t>
  </si>
  <si>
    <t>Õpilaste arv 2019</t>
  </si>
  <si>
    <t>moodul</t>
  </si>
  <si>
    <t>Lehola kool ja lasteaed</t>
  </si>
  <si>
    <t>Majandus-kulu kokku</t>
  </si>
  <si>
    <t>Koolid</t>
  </si>
  <si>
    <t>Majandus-kulu 1 lapse kohta</t>
  </si>
  <si>
    <t>Kaitseinvesteeringute Keskuse toetus</t>
  </si>
  <si>
    <t>2019.a. tulemist 60%</t>
  </si>
  <si>
    <t>laenu jääk seisuga 31.12.2019</t>
  </si>
  <si>
    <t>Kassa jääk seisuga 31.12.2019</t>
  </si>
  <si>
    <t>Ettemaks kooli ehituseks</t>
  </si>
  <si>
    <t>Vaba NVK</t>
  </si>
  <si>
    <t>Keila-Joa Lasteaed</t>
  </si>
  <si>
    <t>Lisandunud laen 2019</t>
  </si>
  <si>
    <t>Üle/puudu</t>
  </si>
  <si>
    <t>Netovõlakoormuse prognoos</t>
  </si>
  <si>
    <t>Rummu vee- ja kanalisatsiooni trasside rek</t>
  </si>
  <si>
    <t>Rummu reoveepuhasti rek</t>
  </si>
  <si>
    <t xml:space="preserve">Harju-Risti ja Padise reoveepuhastite rek </t>
  </si>
  <si>
    <t>Paldiski keskväljak</t>
  </si>
  <si>
    <t>Muu elamu- ja kommunaalmajanduse tegevus (sh hulkuvad loomad)</t>
  </si>
  <si>
    <t>Muu keskkonnakaitse</t>
  </si>
  <si>
    <t>05101</t>
  </si>
  <si>
    <t>Avalike alade puhastus</t>
  </si>
  <si>
    <t>Muutus</t>
  </si>
  <si>
    <t>Leetse rand</t>
  </si>
  <si>
    <t>Rahvakultuur (Padise Rahvamaja)</t>
  </si>
  <si>
    <t>Koolitransport</t>
  </si>
  <si>
    <t>Vasalemma jalgpallistaadion</t>
  </si>
  <si>
    <t>Üleoja tee Kloogaranna küla</t>
  </si>
  <si>
    <t>VV2</t>
  </si>
  <si>
    <t>KTG projekt</t>
  </si>
  <si>
    <t>Kogukonnakomisjon</t>
  </si>
  <si>
    <t>Vasalemma mõisapargi rekonstrueerimine</t>
  </si>
  <si>
    <t xml:space="preserve">Harju-Risti ja Padise reoveepuhastite rekonstrueerimine </t>
  </si>
  <si>
    <t>Rummu vee- ja kanalisatsiooni trasside rekonstrueerimine</t>
  </si>
  <si>
    <t>Rea Nr</t>
  </si>
  <si>
    <t>Lehola Vasalemma kergliiklustee</t>
  </si>
  <si>
    <t>Padise Rummu kergliiklustee</t>
  </si>
  <si>
    <t>2019 lõplik eelarve</t>
  </si>
  <si>
    <t>Muud hariduse abiteenused</t>
  </si>
  <si>
    <t>Muu haridus</t>
  </si>
  <si>
    <t>sh KTG projekti toetus 193 353€ ja hallatavate asutuste juhtide koolituse toetus 13872€</t>
  </si>
  <si>
    <t>Suurendatud Hestia ettepanekul 2000€ võrra.</t>
  </si>
  <si>
    <t>Lisaks hallatavate asutuste juhtide koolitused 27622€, millest 13 872€ kaetakse toetuse arvelt</t>
  </si>
  <si>
    <t>Vasalemma Päevaeskus</t>
  </si>
  <si>
    <t>Antavad toetused - transpordikorraldus (HÜTK,Väike-Pakri meretransport, Elron)</t>
  </si>
  <si>
    <t>Muutus %</t>
  </si>
  <si>
    <t xml:space="preserve">LHV 2020.a. eelarve </t>
  </si>
  <si>
    <t>Lääne-Harju Valla Tugikeskus</t>
  </si>
  <si>
    <t>Lääne-Harju Valla Tugikeskuse ehitus</t>
  </si>
  <si>
    <t>lasteaiapetaja abi</t>
  </si>
  <si>
    <t>Paldiski Lasteaed Naerulind</t>
  </si>
  <si>
    <t>Paldiski Lasteaed Sipsik</t>
  </si>
  <si>
    <t>Padise Lasteaed</t>
  </si>
  <si>
    <t>Rummu Lasteaed Lepatriinu</t>
  </si>
  <si>
    <t>Vasalemma Lasteaed Sajajalgne</t>
  </si>
  <si>
    <t>Laulasmaa koolimaja ja lasteaed</t>
  </si>
  <si>
    <t>Lehola koolimaja ja lasteaed,</t>
  </si>
  <si>
    <t>Klooga koolimaja ja lasteaed</t>
  </si>
  <si>
    <t xml:space="preserve">    Reserv</t>
  </si>
  <si>
    <t>Padise Rahvamaja</t>
  </si>
  <si>
    <t xml:space="preserve"> Vasalemma Huvikeskus</t>
  </si>
  <si>
    <t>Rummu elukeskkond</t>
  </si>
  <si>
    <t>vastavalt 2019 tegelikule laekumisele</t>
  </si>
  <si>
    <t>Hallatavate asutuste remondid (vasalemma kooli tuletõkkesektsioonid ja katus)</t>
  </si>
  <si>
    <t>Uute rühmaruumide remont (Padise lasteaed)</t>
  </si>
  <si>
    <t>Jõulinnak (Rummu)</t>
  </si>
  <si>
    <t>Rummu lasteaed (terviseameti ettekirjutus ja soojasõlm)</t>
  </si>
  <si>
    <t>arenduseks, valgustite elekter, hooldus, jõulukaunistused, väiksemad arendused</t>
  </si>
  <si>
    <t>Teehööveldamine, asfaldiaukude lappimine, liiklusmärkide paigaldamine</t>
  </si>
  <si>
    <t>Avalike alade niitmine, sh teeääred, pargid, teede harjamine, lumelükkamine, libedusetõrje</t>
  </si>
  <si>
    <t>palgad</t>
  </si>
  <si>
    <t>masinad</t>
  </si>
  <si>
    <t>lumetõrje</t>
  </si>
  <si>
    <t>MV remont</t>
  </si>
  <si>
    <t>Klooga ramp</t>
  </si>
  <si>
    <t>Mänguväljaku ühendamine kõnniteega, mänguväljaku valgustmaine (2 posti), pingitaskud, haljastus</t>
  </si>
  <si>
    <t>Riietuskabiin, laudtee, ujumissild</t>
  </si>
  <si>
    <t>Mänguväljakud (omafinantseering) (Karjaküla + 1 küla veel)</t>
  </si>
  <si>
    <t>istutused (sh Paldiski väljak), mullavedu, puude hooldus, tormimurrud avalikel aladel (va teede ääres), pingid, prügikastid, pargiteed</t>
  </si>
  <si>
    <t>istutusm sh Paldiski väljak</t>
  </si>
  <si>
    <t>Tee hööveldamine</t>
  </si>
  <si>
    <t>aukude lappimine</t>
  </si>
  <si>
    <t>märgid</t>
  </si>
  <si>
    <t>ainult loomade püüdmine + väli WCd</t>
  </si>
  <si>
    <t>Padise avalik pargiala</t>
  </si>
  <si>
    <t>Kasv võrreldes 2019</t>
  </si>
  <si>
    <t>Projekti maksumus</t>
  </si>
  <si>
    <t>Omafinantseering</t>
  </si>
  <si>
    <t>Projekti nimetus</t>
  </si>
  <si>
    <t>Perearsti ruumide väljaehitamine Padise rahvamajas</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</si>
</sst>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kr&quot;;\-#,##0\ &quot;kr&quot;"/>
    <numFmt numFmtId="167" formatCode="#,##0\ &quot;kr&quot;;[Red]\-#,##0\ &quot;kr&quot;"/>
    <numFmt numFmtId="168" formatCode="#,##0.00\ &quot;kr&quot;;\-#,##0.00\ &quot;kr&quot;"/>
    <numFmt numFmtId="169" formatCode="#,##0.00\ &quot;kr&quot;;[Red]\-#,##0.00\ &quot;kr&quot;"/>
    <numFmt numFmtId="170" formatCode="_-* #,##0\ &quot;kr&quot;_-;\-* #,##0\ &quot;kr&quot;_-;_-* &quot;-&quot;\ &quot;kr&quot;_-;_-@_-"/>
    <numFmt numFmtId="171" formatCode="_-* #,##0.00\ &quot;kr&quot;_-;\-* #,##0.00\ &quot;kr&quot;_-;_-* &quot;-&quot;??\ &quot;kr&quot;_-;_-@_-"/>
    <numFmt numFmtId="172" formatCode="_-* #,##0\ _k_r_-;\-* #,##0\ _k_r_-;_-* &quot;-&quot;\ _k_r_-;_-@_-"/>
    <numFmt numFmtId="173" formatCode="_-* #,##0.00\ _k_r_-;\-* #,##0.00\ _k_r_-;_-* &quot;-&quot;??\ _k_r_-;_-@_-"/>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425]dddd\,\ d\.\ mmmm\ yyyy"/>
    <numFmt numFmtId="180" formatCode="h:mm\.ss"/>
    <numFmt numFmtId="181" formatCode="#,##0.00_ ;[Red]\-#,##0.00\ "/>
    <numFmt numFmtId="182" formatCode="#,##0_ ;[Red]\-#,##0\ "/>
    <numFmt numFmtId="183" formatCode="0.0"/>
    <numFmt numFmtId="184" formatCode="#,##0.000"/>
  </numFmts>
  <fonts count="57">
    <font>
      <sz val="10"/>
      <name val="Arial"/>
      <family val="0"/>
    </font>
    <font>
      <b/>
      <sz val="12"/>
      <name val="Arial"/>
      <family val="2"/>
    </font>
    <font>
      <b/>
      <sz val="10"/>
      <name val="Arial"/>
      <family val="2"/>
    </font>
    <font>
      <sz val="9"/>
      <name val="Arial"/>
      <family val="2"/>
    </font>
    <font>
      <i/>
      <sz val="8"/>
      <name val="Arial"/>
      <family val="2"/>
    </font>
    <font>
      <b/>
      <sz val="11"/>
      <name val="Arial"/>
      <family val="2"/>
    </font>
    <font>
      <sz val="8"/>
      <name val="Arial"/>
      <family val="2"/>
    </font>
    <font>
      <b/>
      <sz val="10"/>
      <color indexed="8"/>
      <name val="Arial"/>
      <family val="2"/>
    </font>
    <font>
      <b/>
      <sz val="12"/>
      <color indexed="8"/>
      <name val="Arial"/>
      <family val="2"/>
    </font>
    <font>
      <sz val="10"/>
      <color indexed="8"/>
      <name val="Arial"/>
      <family val="2"/>
    </font>
    <font>
      <b/>
      <i/>
      <sz val="12"/>
      <name val="Arial"/>
      <family val="2"/>
    </font>
    <font>
      <sz val="11"/>
      <name val="Calibri"/>
      <family val="2"/>
    </font>
    <font>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10"/>
      <name val="Arial"/>
      <family val="2"/>
    </font>
    <font>
      <sz val="10"/>
      <color indexed="10"/>
      <name val="Arial"/>
      <family val="2"/>
    </font>
    <font>
      <i/>
      <sz val="8"/>
      <color indexed="10"/>
      <name val="Arial"/>
      <family val="2"/>
    </font>
    <font>
      <sz val="11"/>
      <color theme="1"/>
      <name val="Calibri"/>
      <family val="2"/>
    </font>
    <font>
      <sz val="11"/>
      <color theme="0"/>
      <name val="Calibri"/>
      <family val="2"/>
    </font>
    <font>
      <b/>
      <sz val="11"/>
      <color rgb="FFFA7D00"/>
      <name val="Calibri"/>
      <family val="2"/>
    </font>
    <font>
      <sz val="11"/>
      <color rgb="FF9C0006"/>
      <name val="Calibri"/>
      <family val="2"/>
    </font>
    <font>
      <sz val="11"/>
      <color rgb="FF006100"/>
      <name val="Calibri"/>
      <family val="2"/>
    </font>
    <font>
      <sz val="11"/>
      <color rgb="FFFF0000"/>
      <name val="Calibri"/>
      <family val="2"/>
    </font>
    <font>
      <u val="single"/>
      <sz val="10"/>
      <color theme="10"/>
      <name val="Arial"/>
      <family val="2"/>
    </font>
    <font>
      <b/>
      <sz val="11"/>
      <color theme="1"/>
      <name val="Calibri"/>
      <family val="2"/>
    </font>
    <font>
      <b/>
      <sz val="11"/>
      <color theme="0"/>
      <name val="Calibri"/>
      <family val="2"/>
    </font>
    <font>
      <u val="single"/>
      <sz val="10"/>
      <color theme="11"/>
      <name val="Arial"/>
      <family val="2"/>
    </font>
    <font>
      <sz val="11"/>
      <color rgb="FFFA7D00"/>
      <name val="Calibri"/>
      <family val="2"/>
    </font>
    <font>
      <sz val="11"/>
      <color rgb="FF9C6500"/>
      <name val="Calibri"/>
      <family val="2"/>
    </font>
    <font>
      <b/>
      <sz val="15"/>
      <color theme="3"/>
      <name val="Calibri"/>
      <family val="2"/>
    </font>
    <font>
      <b/>
      <sz val="13"/>
      <color theme="3"/>
      <name val="Calibri"/>
      <family val="2"/>
    </font>
    <font>
      <b/>
      <sz val="11"/>
      <color theme="3"/>
      <name val="Calibri"/>
      <family val="2"/>
    </font>
    <font>
      <i/>
      <sz val="11"/>
      <color rgb="FF7F7F7F"/>
      <name val="Calibri"/>
      <family val="2"/>
    </font>
    <font>
      <sz val="11"/>
      <color rgb="FF3F3F76"/>
      <name val="Calibri"/>
      <family val="2"/>
    </font>
    <font>
      <b/>
      <sz val="11"/>
      <color rgb="FF3F3F3F"/>
      <name val="Calibri"/>
      <family val="2"/>
    </font>
    <font>
      <b/>
      <sz val="18"/>
      <color theme="3"/>
      <name val="Cambria"/>
      <family val="2"/>
    </font>
    <font>
      <b/>
      <sz val="10"/>
      <color rgb="FFFF0000"/>
      <name val="Arial"/>
      <family val="2"/>
    </font>
    <font>
      <sz val="10"/>
      <color rgb="FFFF0000"/>
      <name val="Arial"/>
      <family val="2"/>
    </font>
    <font>
      <i/>
      <sz val="8"/>
      <color rgb="FFFF0000"/>
      <name val="Arial"/>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A5A5A5"/>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41"/>
        <bgColor indexed="64"/>
      </patternFill>
    </fill>
    <fill>
      <patternFill patternType="solid">
        <fgColor rgb="FFCCFFFF"/>
        <bgColor indexed="64"/>
      </patternFill>
    </fill>
    <fill>
      <patternFill patternType="solid">
        <fgColor theme="4" tint="0.7999799847602844"/>
        <bgColor indexed="64"/>
      </patternFill>
    </fill>
    <fill>
      <patternFill patternType="solid">
        <fgColor theme="0"/>
        <bgColor indexed="64"/>
      </patternFill>
    </fill>
    <fill>
      <patternFill patternType="solid">
        <fgColor rgb="FFFFFF0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right style="hair"/>
      <top style="thin"/>
      <bottom style="thin"/>
    </border>
    <border>
      <left>
        <color indexed="63"/>
      </left>
      <right/>
      <top/>
      <bottom style="thin"/>
    </border>
    <border>
      <left style="thin"/>
      <right>
        <color indexed="63"/>
      </right>
      <top style="thin"/>
      <bottom style="thin"/>
    </border>
    <border>
      <left style="thin"/>
      <right style="thin"/>
      <top style="thin"/>
      <bottom style="thin"/>
    </border>
    <border>
      <left style="thin"/>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7" fillId="19" borderId="1" applyNumberFormat="0" applyAlignment="0" applyProtection="0"/>
    <xf numFmtId="0" fontId="38" fillId="20" borderId="0" applyNumberFormat="0" applyBorder="0" applyAlignment="0" applyProtection="0"/>
    <xf numFmtId="0" fontId="39" fillId="21"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2" applyNumberFormat="0" applyFill="0" applyAlignment="0" applyProtection="0"/>
    <xf numFmtId="173" fontId="0" fillId="0" borderId="0" applyFont="0" applyFill="0" applyBorder="0" applyAlignment="0" applyProtection="0"/>
    <xf numFmtId="172" fontId="0" fillId="0" borderId="0" applyFont="0" applyFill="0" applyBorder="0" applyAlignment="0" applyProtection="0"/>
    <xf numFmtId="0" fontId="43" fillId="22" borderId="3" applyNumberFormat="0" applyAlignment="0" applyProtection="0"/>
    <xf numFmtId="0" fontId="44" fillId="0" borderId="0" applyNumberFormat="0" applyFill="0" applyBorder="0" applyAlignment="0" applyProtection="0"/>
    <xf numFmtId="0" fontId="45" fillId="0" borderId="4" applyNumberFormat="0" applyFill="0" applyAlignment="0" applyProtection="0"/>
    <xf numFmtId="0" fontId="0" fillId="23" borderId="5" applyNumberFormat="0" applyFont="0" applyAlignment="0" applyProtection="0"/>
    <xf numFmtId="0" fontId="46" fillId="24" borderId="0" applyNumberFormat="0" applyBorder="0" applyAlignment="0" applyProtection="0"/>
    <xf numFmtId="0" fontId="0" fillId="0" borderId="0">
      <alignment/>
      <protection/>
    </xf>
    <xf numFmtId="0" fontId="47" fillId="0" borderId="6" applyNumberFormat="0" applyFill="0" applyAlignment="0" applyProtection="0"/>
    <xf numFmtId="0" fontId="48" fillId="0" borderId="7" applyNumberFormat="0" applyFill="0" applyAlignment="0" applyProtection="0"/>
    <xf numFmtId="0" fontId="49" fillId="0" borderId="8" applyNumberFormat="0" applyFill="0" applyAlignment="0" applyProtection="0"/>
    <xf numFmtId="0" fontId="49" fillId="0" borderId="0" applyNumberFormat="0" applyFill="0" applyBorder="0" applyAlignment="0" applyProtection="0"/>
    <xf numFmtId="9" fontId="0" fillId="0" borderId="0" applyFont="0" applyFill="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50" fillId="0" borderId="0" applyNumberFormat="0" applyFill="0" applyBorder="0" applyAlignment="0" applyProtection="0"/>
    <xf numFmtId="0" fontId="51" fillId="31" borderId="1" applyNumberFormat="0" applyAlignment="0" applyProtection="0"/>
    <xf numFmtId="171" fontId="0" fillId="0" borderId="0" applyFont="0" applyFill="0" applyBorder="0" applyAlignment="0" applyProtection="0"/>
    <xf numFmtId="170" fontId="0" fillId="0" borderId="0" applyFont="0" applyFill="0" applyBorder="0" applyAlignment="0" applyProtection="0"/>
    <xf numFmtId="0" fontId="52" fillId="19" borderId="9" applyNumberFormat="0" applyAlignment="0" applyProtection="0"/>
    <xf numFmtId="0" fontId="53" fillId="0" borderId="0" applyNumberFormat="0" applyFill="0" applyBorder="0" applyAlignment="0" applyProtection="0"/>
  </cellStyleXfs>
  <cellXfs count="195">
    <xf numFmtId="0" fontId="0" fillId="0" borderId="0" xfId="0" applyAlignment="1">
      <alignment/>
    </xf>
    <xf numFmtId="0" fontId="1" fillId="0" borderId="0" xfId="0" applyFont="1" applyAlignment="1">
      <alignment/>
    </xf>
    <xf numFmtId="0" fontId="2" fillId="0" borderId="10" xfId="0" applyFont="1" applyBorder="1" applyAlignment="1">
      <alignment horizontal="center" vertical="center"/>
    </xf>
    <xf numFmtId="0" fontId="2" fillId="0" borderId="0" xfId="0" applyFont="1" applyAlignment="1">
      <alignment/>
    </xf>
    <xf numFmtId="0" fontId="5" fillId="0" borderId="0" xfId="0" applyFont="1" applyAlignment="1">
      <alignment/>
    </xf>
    <xf numFmtId="0" fontId="4" fillId="0" borderId="0" xfId="0" applyFont="1" applyBorder="1" applyAlignment="1" quotePrefix="1">
      <alignment/>
    </xf>
    <xf numFmtId="0" fontId="4" fillId="0" borderId="0" xfId="0" applyFont="1" applyBorder="1" applyAlignment="1" quotePrefix="1">
      <alignment horizontal="left"/>
    </xf>
    <xf numFmtId="0" fontId="4" fillId="0" borderId="0" xfId="0" applyFont="1" applyBorder="1" applyAlignment="1">
      <alignment horizontal="left" indent="1"/>
    </xf>
    <xf numFmtId="0" fontId="0" fillId="0" borderId="0" xfId="0" applyFont="1" applyAlignment="1">
      <alignment/>
    </xf>
    <xf numFmtId="3" fontId="0" fillId="0" borderId="0" xfId="0" applyNumberFormat="1" applyAlignment="1">
      <alignment/>
    </xf>
    <xf numFmtId="0" fontId="0" fillId="0" borderId="0" xfId="0" applyFont="1" applyBorder="1" applyAlignment="1">
      <alignment/>
    </xf>
    <xf numFmtId="0" fontId="0" fillId="0" borderId="0" xfId="0" applyFont="1" applyBorder="1" applyAlignment="1" quotePrefix="1">
      <alignment horizontal="left"/>
    </xf>
    <xf numFmtId="0" fontId="0" fillId="0" borderId="11" xfId="0" applyFont="1" applyBorder="1" applyAlignment="1">
      <alignment/>
    </xf>
    <xf numFmtId="0" fontId="0" fillId="0" borderId="0" xfId="0" applyFont="1" applyBorder="1" applyAlignment="1">
      <alignment/>
    </xf>
    <xf numFmtId="0" fontId="4" fillId="0" borderId="0" xfId="0" applyFont="1" applyAlignment="1">
      <alignment/>
    </xf>
    <xf numFmtId="0" fontId="1" fillId="32" borderId="12" xfId="0" applyFont="1" applyFill="1" applyBorder="1" applyAlignment="1">
      <alignment vertical="center"/>
    </xf>
    <xf numFmtId="0" fontId="1" fillId="0" borderId="0" xfId="0" applyFont="1" applyAlignment="1">
      <alignment/>
    </xf>
    <xf numFmtId="0" fontId="10" fillId="0" borderId="0" xfId="0" applyFont="1" applyBorder="1" applyAlignment="1" quotePrefix="1">
      <alignment/>
    </xf>
    <xf numFmtId="0" fontId="10" fillId="0" borderId="0" xfId="0" applyFont="1" applyBorder="1" applyAlignment="1" quotePrefix="1">
      <alignment horizontal="left"/>
    </xf>
    <xf numFmtId="3" fontId="1" fillId="33" borderId="13" xfId="0" applyNumberFormat="1" applyFont="1" applyFill="1" applyBorder="1" applyAlignment="1">
      <alignment/>
    </xf>
    <xf numFmtId="0" fontId="0" fillId="0" borderId="0" xfId="0" applyFont="1" applyAlignment="1">
      <alignment wrapText="1"/>
    </xf>
    <xf numFmtId="0" fontId="0" fillId="0" borderId="0" xfId="0" applyFill="1" applyAlignment="1">
      <alignment/>
    </xf>
    <xf numFmtId="3" fontId="0" fillId="0" borderId="0" xfId="0" applyNumberFormat="1" applyFont="1" applyAlignment="1">
      <alignment/>
    </xf>
    <xf numFmtId="3" fontId="0" fillId="0" borderId="0" xfId="0" applyNumberFormat="1" applyFont="1" applyAlignment="1">
      <alignment horizontal="right"/>
    </xf>
    <xf numFmtId="0" fontId="0" fillId="0" borderId="0" xfId="0" applyFont="1" applyAlignment="1">
      <alignment horizontal="right"/>
    </xf>
    <xf numFmtId="0" fontId="11" fillId="0" borderId="0" xfId="0" applyFont="1" applyAlignment="1">
      <alignment/>
    </xf>
    <xf numFmtId="3" fontId="2" fillId="0" borderId="0" xfId="0" applyNumberFormat="1" applyFont="1" applyAlignment="1">
      <alignment/>
    </xf>
    <xf numFmtId="0" fontId="11" fillId="0" borderId="0" xfId="0" applyFont="1" applyAlignment="1">
      <alignment horizontal="left" vertical="center" wrapText="1" indent="1"/>
    </xf>
    <xf numFmtId="0" fontId="11" fillId="0" borderId="0" xfId="0" applyFont="1" applyAlignment="1">
      <alignment horizontal="left" vertical="center" wrapText="1" indent="4"/>
    </xf>
    <xf numFmtId="0" fontId="2" fillId="0" borderId="13" xfId="0" applyFont="1" applyBorder="1" applyAlignment="1">
      <alignment horizontal="center" vertical="center"/>
    </xf>
    <xf numFmtId="0" fontId="2" fillId="0" borderId="13" xfId="0" applyFont="1" applyBorder="1" applyAlignment="1">
      <alignment horizontal="center" vertical="center" wrapText="1"/>
    </xf>
    <xf numFmtId="0" fontId="1" fillId="32" borderId="13" xfId="0" applyFont="1" applyFill="1" applyBorder="1" applyAlignment="1">
      <alignment/>
    </xf>
    <xf numFmtId="0" fontId="0" fillId="0" borderId="13" xfId="0" applyFont="1" applyBorder="1" applyAlignment="1">
      <alignment/>
    </xf>
    <xf numFmtId="0" fontId="2" fillId="0" borderId="13" xfId="0" applyFont="1" applyBorder="1" applyAlignment="1">
      <alignment/>
    </xf>
    <xf numFmtId="0" fontId="2" fillId="0" borderId="13" xfId="0" applyFont="1" applyFill="1" applyBorder="1" applyAlignment="1">
      <alignment/>
    </xf>
    <xf numFmtId="3" fontId="2" fillId="0" borderId="13" xfId="0" applyNumberFormat="1" applyFont="1" applyBorder="1" applyAlignment="1">
      <alignment/>
    </xf>
    <xf numFmtId="0" fontId="3" fillId="0" borderId="13" xfId="0" applyFont="1" applyBorder="1" applyAlignment="1">
      <alignment/>
    </xf>
    <xf numFmtId="3" fontId="0" fillId="0" borderId="13" xfId="0" applyNumberFormat="1" applyFont="1" applyBorder="1" applyAlignment="1">
      <alignment/>
    </xf>
    <xf numFmtId="3" fontId="0" fillId="0" borderId="13" xfId="0" applyNumberFormat="1" applyBorder="1" applyAlignment="1">
      <alignment/>
    </xf>
    <xf numFmtId="0" fontId="3" fillId="0" borderId="13" xfId="0" applyFont="1" applyBorder="1" applyAlignment="1">
      <alignment horizontal="right"/>
    </xf>
    <xf numFmtId="0" fontId="1" fillId="32" borderId="13" xfId="0" applyFont="1" applyFill="1" applyBorder="1" applyAlignment="1" quotePrefix="1">
      <alignment horizontal="right" vertical="center"/>
    </xf>
    <xf numFmtId="0" fontId="1" fillId="32" borderId="13" xfId="0" applyFont="1" applyFill="1" applyBorder="1" applyAlignment="1">
      <alignment vertical="center" wrapText="1"/>
    </xf>
    <xf numFmtId="0" fontId="1" fillId="32" borderId="13" xfId="0" applyFont="1" applyFill="1" applyBorder="1" applyAlignment="1">
      <alignment vertical="center"/>
    </xf>
    <xf numFmtId="0" fontId="2" fillId="32" borderId="13" xfId="0" applyFont="1" applyFill="1" applyBorder="1" applyAlignment="1">
      <alignment vertical="center"/>
    </xf>
    <xf numFmtId="0" fontId="2" fillId="32" borderId="13" xfId="0" applyFont="1" applyFill="1" applyBorder="1" applyAlignment="1">
      <alignment vertical="center" wrapText="1"/>
    </xf>
    <xf numFmtId="3" fontId="2" fillId="33" borderId="13" xfId="0" applyNumberFormat="1" applyFont="1" applyFill="1" applyBorder="1" applyAlignment="1">
      <alignment/>
    </xf>
    <xf numFmtId="0" fontId="2" fillId="0" borderId="13" xfId="0" applyFont="1" applyBorder="1" applyAlignment="1">
      <alignment vertical="center"/>
    </xf>
    <xf numFmtId="0" fontId="2" fillId="0" borderId="13" xfId="0" applyFont="1" applyBorder="1" applyAlignment="1">
      <alignment vertical="center" wrapText="1"/>
    </xf>
    <xf numFmtId="0" fontId="0" fillId="0" borderId="13" xfId="0" applyFont="1" applyBorder="1" applyAlignment="1">
      <alignment vertical="center"/>
    </xf>
    <xf numFmtId="0" fontId="0" fillId="0" borderId="13" xfId="0" applyFont="1" applyBorder="1" applyAlignment="1" quotePrefix="1">
      <alignment vertical="center" wrapText="1"/>
    </xf>
    <xf numFmtId="49" fontId="0" fillId="0" borderId="13" xfId="0" applyNumberFormat="1" applyFont="1" applyBorder="1" applyAlignment="1" quotePrefix="1">
      <alignment vertical="center" wrapText="1"/>
    </xf>
    <xf numFmtId="0" fontId="0" fillId="0" borderId="13" xfId="0" applyFont="1" applyBorder="1" applyAlignment="1">
      <alignment vertical="center" wrapText="1"/>
    </xf>
    <xf numFmtId="0" fontId="0" fillId="0" borderId="13" xfId="0" applyFont="1" applyBorder="1" applyAlignment="1">
      <alignment horizontal="right" vertical="center"/>
    </xf>
    <xf numFmtId="0" fontId="0" fillId="0" borderId="13" xfId="0" applyFont="1" applyFill="1" applyBorder="1" applyAlignment="1">
      <alignment vertical="center"/>
    </xf>
    <xf numFmtId="0" fontId="0" fillId="0" borderId="13" xfId="0" applyFont="1" applyFill="1" applyBorder="1" applyAlignment="1" quotePrefix="1">
      <alignment vertical="center" wrapText="1"/>
    </xf>
    <xf numFmtId="0" fontId="3" fillId="0" borderId="13" xfId="0" applyFont="1" applyBorder="1" applyAlignment="1">
      <alignment vertical="center"/>
    </xf>
    <xf numFmtId="0" fontId="0" fillId="0" borderId="13" xfId="0" applyFont="1" applyBorder="1" applyAlignment="1">
      <alignment horizontal="left" vertical="center"/>
    </xf>
    <xf numFmtId="0" fontId="0" fillId="0" borderId="13" xfId="0" applyFont="1" applyFill="1" applyBorder="1" applyAlignment="1">
      <alignment horizontal="left"/>
    </xf>
    <xf numFmtId="0" fontId="0" fillId="0" borderId="13" xfId="0" applyFont="1" applyFill="1" applyBorder="1" applyAlignment="1">
      <alignment/>
    </xf>
    <xf numFmtId="3" fontId="0" fillId="0" borderId="13" xfId="0" applyNumberFormat="1" applyFill="1" applyBorder="1" applyAlignment="1">
      <alignment/>
    </xf>
    <xf numFmtId="0" fontId="0" fillId="0" borderId="13" xfId="0" applyFont="1" applyBorder="1" applyAlignment="1" quotePrefix="1">
      <alignment horizontal="left"/>
    </xf>
    <xf numFmtId="0" fontId="0" fillId="0" borderId="13" xfId="0" applyFont="1" applyBorder="1" applyAlignment="1" quotePrefix="1">
      <alignment horizontal="left" vertical="center"/>
    </xf>
    <xf numFmtId="0" fontId="4" fillId="0" borderId="13" xfId="0" applyFont="1" applyBorder="1" applyAlignment="1">
      <alignment horizontal="left"/>
    </xf>
    <xf numFmtId="0" fontId="4" fillId="0" borderId="13" xfId="0" applyFont="1" applyBorder="1" applyAlignment="1" quotePrefix="1">
      <alignment horizontal="right"/>
    </xf>
    <xf numFmtId="0" fontId="4" fillId="0" borderId="13" xfId="0" applyFont="1" applyBorder="1" applyAlignment="1">
      <alignment horizontal="left" indent="1"/>
    </xf>
    <xf numFmtId="3" fontId="4" fillId="0" borderId="13" xfId="0" applyNumberFormat="1" applyFont="1" applyBorder="1" applyAlignment="1">
      <alignment/>
    </xf>
    <xf numFmtId="3" fontId="4" fillId="0" borderId="13" xfId="0" applyNumberFormat="1" applyFont="1" applyFill="1" applyBorder="1" applyAlignment="1">
      <alignment/>
    </xf>
    <xf numFmtId="0" fontId="7" fillId="32" borderId="13" xfId="0" applyFont="1" applyFill="1" applyBorder="1" applyAlignment="1">
      <alignment/>
    </xf>
    <xf numFmtId="0" fontId="7" fillId="0" borderId="13" xfId="0" applyFont="1" applyFill="1" applyBorder="1" applyAlignment="1">
      <alignment/>
    </xf>
    <xf numFmtId="0" fontId="0" fillId="0" borderId="13" xfId="0" applyFont="1" applyBorder="1" applyAlignment="1">
      <alignment horizontal="left"/>
    </xf>
    <xf numFmtId="0" fontId="9" fillId="0" borderId="13" xfId="0" applyFont="1" applyFill="1" applyBorder="1" applyAlignment="1">
      <alignment/>
    </xf>
    <xf numFmtId="0" fontId="0" fillId="0" borderId="13" xfId="0" applyFont="1" applyBorder="1" applyAlignment="1" quotePrefix="1">
      <alignment/>
    </xf>
    <xf numFmtId="0" fontId="0" fillId="0" borderId="13" xfId="0" applyFont="1" applyBorder="1" applyAlignment="1" quotePrefix="1">
      <alignment horizontal="left"/>
    </xf>
    <xf numFmtId="0" fontId="0" fillId="0" borderId="13" xfId="0" applyFont="1" applyBorder="1" applyAlignment="1">
      <alignment/>
    </xf>
    <xf numFmtId="0" fontId="8" fillId="33" borderId="13" xfId="0" applyFont="1" applyFill="1" applyBorder="1" applyAlignment="1">
      <alignment/>
    </xf>
    <xf numFmtId="0" fontId="8" fillId="32" borderId="13" xfId="0" applyFont="1" applyFill="1" applyBorder="1" applyAlignment="1">
      <alignment/>
    </xf>
    <xf numFmtId="3" fontId="8" fillId="32" borderId="13" xfId="0" applyNumberFormat="1" applyFont="1" applyFill="1" applyBorder="1" applyAlignment="1">
      <alignment/>
    </xf>
    <xf numFmtId="0" fontId="2" fillId="0" borderId="13" xfId="0" applyFont="1" applyBorder="1" applyAlignment="1">
      <alignment horizontal="right"/>
    </xf>
    <xf numFmtId="0" fontId="7" fillId="33" borderId="13" xfId="0" applyFont="1" applyFill="1" applyBorder="1" applyAlignment="1">
      <alignment/>
    </xf>
    <xf numFmtId="0" fontId="0" fillId="0" borderId="13" xfId="0" applyFont="1" applyFill="1" applyBorder="1" applyAlignment="1" quotePrefix="1">
      <alignment horizontal="left"/>
    </xf>
    <xf numFmtId="0" fontId="0" fillId="0" borderId="13" xfId="0" applyFont="1" applyFill="1" applyBorder="1" applyAlignment="1" quotePrefix="1">
      <alignment/>
    </xf>
    <xf numFmtId="0" fontId="0" fillId="0" borderId="13" xfId="0" applyFont="1" applyBorder="1" applyAlignment="1">
      <alignment/>
    </xf>
    <xf numFmtId="14" fontId="2" fillId="0" borderId="13" xfId="0" applyNumberFormat="1" applyFont="1" applyBorder="1" applyAlignment="1" quotePrefix="1">
      <alignment horizontal="right"/>
    </xf>
    <xf numFmtId="14" fontId="2" fillId="0" borderId="13" xfId="0" applyNumberFormat="1" applyFont="1" applyBorder="1" applyAlignment="1" quotePrefix="1">
      <alignment/>
    </xf>
    <xf numFmtId="3" fontId="2" fillId="0" borderId="13" xfId="0" applyNumberFormat="1" applyFont="1" applyBorder="1" applyAlignment="1">
      <alignment horizontal="center" vertical="center" wrapText="1"/>
    </xf>
    <xf numFmtId="0" fontId="0" fillId="0" borderId="13" xfId="46" applyFont="1" applyBorder="1" applyAlignment="1" quotePrefix="1">
      <alignment vertical="center" wrapText="1"/>
      <protection/>
    </xf>
    <xf numFmtId="0" fontId="0" fillId="0" borderId="12" xfId="46" applyFont="1" applyBorder="1" applyAlignment="1">
      <alignment vertical="center"/>
      <protection/>
    </xf>
    <xf numFmtId="0" fontId="0" fillId="0" borderId="13" xfId="46" applyFont="1" applyBorder="1" applyAlignment="1">
      <alignment horizontal="right" vertical="center"/>
      <protection/>
    </xf>
    <xf numFmtId="0" fontId="0" fillId="0" borderId="12" xfId="46" applyFont="1" applyFill="1" applyBorder="1" applyAlignment="1">
      <alignment vertical="center"/>
      <protection/>
    </xf>
    <xf numFmtId="3" fontId="4" fillId="0" borderId="0" xfId="0" applyNumberFormat="1" applyFont="1" applyAlignment="1">
      <alignment/>
    </xf>
    <xf numFmtId="3" fontId="1" fillId="0" borderId="0" xfId="0" applyNumberFormat="1" applyFont="1" applyAlignment="1">
      <alignment/>
    </xf>
    <xf numFmtId="3" fontId="0" fillId="0" borderId="0" xfId="0" applyNumberFormat="1" applyFill="1" applyAlignment="1">
      <alignment/>
    </xf>
    <xf numFmtId="0" fontId="0" fillId="0" borderId="0" xfId="0" applyFill="1" applyBorder="1" applyAlignment="1">
      <alignment/>
    </xf>
    <xf numFmtId="0" fontId="0" fillId="0" borderId="13" xfId="0" applyFont="1" applyFill="1" applyBorder="1" applyAlignment="1" quotePrefix="1">
      <alignment horizontal="left"/>
    </xf>
    <xf numFmtId="3" fontId="0" fillId="0" borderId="0" xfId="0" applyNumberFormat="1" applyAlignment="1">
      <alignment wrapText="1"/>
    </xf>
    <xf numFmtId="3" fontId="0" fillId="0" borderId="13" xfId="0" applyNumberFormat="1" applyFont="1" applyBorder="1" applyAlignment="1">
      <alignment wrapText="1"/>
    </xf>
    <xf numFmtId="3" fontId="0" fillId="0" borderId="0" xfId="0" applyNumberFormat="1" applyBorder="1" applyAlignment="1">
      <alignment/>
    </xf>
    <xf numFmtId="0" fontId="0" fillId="0" borderId="0" xfId="0" applyAlignment="1">
      <alignment horizontal="left"/>
    </xf>
    <xf numFmtId="0" fontId="0" fillId="0" borderId="0" xfId="0" applyNumberFormat="1" applyAlignment="1">
      <alignment/>
    </xf>
    <xf numFmtId="0" fontId="2" fillId="34" borderId="0" xfId="0" applyFont="1" applyFill="1" applyAlignment="1">
      <alignment/>
    </xf>
    <xf numFmtId="0" fontId="0" fillId="0" borderId="0" xfId="0" applyFont="1" applyAlignment="1">
      <alignment horizontal="left"/>
    </xf>
    <xf numFmtId="0" fontId="0" fillId="0" borderId="0" xfId="0" applyFont="1" applyAlignment="1">
      <alignment horizontal="left"/>
    </xf>
    <xf numFmtId="0" fontId="2" fillId="34" borderId="0" xfId="0" applyFont="1" applyFill="1" applyAlignment="1">
      <alignment horizontal="left"/>
    </xf>
    <xf numFmtId="0" fontId="0" fillId="0" borderId="0" xfId="0" applyAlignment="1">
      <alignment/>
    </xf>
    <xf numFmtId="0" fontId="12" fillId="0" borderId="13" xfId="0" applyFont="1" applyBorder="1" applyAlignment="1">
      <alignment/>
    </xf>
    <xf numFmtId="0" fontId="12" fillId="0" borderId="13" xfId="0" applyFont="1" applyBorder="1" applyAlignment="1">
      <alignment wrapText="1"/>
    </xf>
    <xf numFmtId="3" fontId="12" fillId="0" borderId="13" xfId="0" applyNumberFormat="1" applyFont="1" applyBorder="1" applyAlignment="1">
      <alignment/>
    </xf>
    <xf numFmtId="3" fontId="12" fillId="0" borderId="13" xfId="0" applyNumberFormat="1" applyFont="1" applyBorder="1" applyAlignment="1">
      <alignment wrapText="1"/>
    </xf>
    <xf numFmtId="3" fontId="54" fillId="0" borderId="13" xfId="0" applyNumberFormat="1" applyFont="1" applyBorder="1" applyAlignment="1">
      <alignment/>
    </xf>
    <xf numFmtId="3" fontId="54" fillId="0" borderId="0" xfId="0" applyNumberFormat="1" applyFont="1" applyAlignment="1">
      <alignment wrapText="1"/>
    </xf>
    <xf numFmtId="0" fontId="0" fillId="0" borderId="0" xfId="0" applyFont="1" applyAlignment="1">
      <alignment horizontal="center"/>
    </xf>
    <xf numFmtId="0" fontId="12" fillId="0" borderId="13" xfId="0" applyFont="1" applyFill="1" applyBorder="1" applyAlignment="1">
      <alignment wrapText="1"/>
    </xf>
    <xf numFmtId="0" fontId="12" fillId="0" borderId="13" xfId="0" applyFont="1" applyFill="1" applyBorder="1" applyAlignment="1">
      <alignment/>
    </xf>
    <xf numFmtId="0" fontId="0" fillId="0" borderId="13" xfId="0" applyBorder="1" applyAlignment="1">
      <alignment/>
    </xf>
    <xf numFmtId="3" fontId="0" fillId="35" borderId="13" xfId="0" applyNumberFormat="1" applyFont="1" applyFill="1" applyBorder="1" applyAlignment="1">
      <alignment/>
    </xf>
    <xf numFmtId="0" fontId="9" fillId="35" borderId="13" xfId="0" applyFont="1" applyFill="1" applyBorder="1" applyAlignment="1">
      <alignment/>
    </xf>
    <xf numFmtId="184" fontId="0" fillId="0" borderId="0" xfId="0" applyNumberFormat="1" applyFont="1" applyAlignment="1">
      <alignment/>
    </xf>
    <xf numFmtId="3" fontId="55" fillId="0" borderId="13" xfId="0" applyNumberFormat="1" applyFont="1" applyBorder="1" applyAlignment="1">
      <alignment wrapText="1"/>
    </xf>
    <xf numFmtId="0" fontId="0" fillId="0" borderId="13" xfId="0" applyBorder="1" applyAlignment="1">
      <alignment horizontal="left"/>
    </xf>
    <xf numFmtId="0" fontId="0" fillId="0" borderId="13" xfId="0" applyNumberFormat="1" applyBorder="1" applyAlignment="1">
      <alignment/>
    </xf>
    <xf numFmtId="0" fontId="2" fillId="34" borderId="0" xfId="0" applyNumberFormat="1" applyFont="1" applyFill="1" applyAlignment="1">
      <alignment/>
    </xf>
    <xf numFmtId="0" fontId="0" fillId="0" borderId="13" xfId="0" applyFont="1" applyBorder="1" applyAlignment="1">
      <alignment horizontal="left"/>
    </xf>
    <xf numFmtId="0" fontId="2" fillId="0" borderId="0" xfId="0" applyNumberFormat="1" applyFont="1" applyAlignment="1">
      <alignment/>
    </xf>
    <xf numFmtId="0" fontId="7" fillId="34" borderId="13" xfId="0" applyFont="1" applyFill="1" applyBorder="1" applyAlignment="1">
      <alignment/>
    </xf>
    <xf numFmtId="3" fontId="2" fillId="34" borderId="13" xfId="0" applyNumberFormat="1" applyFont="1" applyFill="1" applyBorder="1" applyAlignment="1">
      <alignment/>
    </xf>
    <xf numFmtId="0" fontId="0" fillId="0" borderId="13" xfId="0" applyFont="1" applyBorder="1" applyAlignment="1">
      <alignment wrapText="1"/>
    </xf>
    <xf numFmtId="0" fontId="2" fillId="34" borderId="13" xfId="0" applyFont="1" applyFill="1" applyBorder="1" applyAlignment="1">
      <alignment/>
    </xf>
    <xf numFmtId="0" fontId="2" fillId="34" borderId="13" xfId="0" applyFont="1" applyFill="1" applyBorder="1" applyAlignment="1">
      <alignment horizontal="center" vertical="center" wrapText="1"/>
    </xf>
    <xf numFmtId="0" fontId="2" fillId="34" borderId="13" xfId="0" applyFont="1" applyFill="1" applyBorder="1" applyAlignment="1">
      <alignment horizontal="center" vertical="center"/>
    </xf>
    <xf numFmtId="3" fontId="0" fillId="0" borderId="0" xfId="0" applyNumberFormat="1" applyFont="1" applyAlignment="1">
      <alignment horizontal="center"/>
    </xf>
    <xf numFmtId="1" fontId="2" fillId="0" borderId="0" xfId="0" applyNumberFormat="1" applyFont="1" applyAlignment="1">
      <alignment/>
    </xf>
    <xf numFmtId="0" fontId="9" fillId="35" borderId="13" xfId="0" applyFont="1" applyFill="1" applyBorder="1" applyAlignment="1" quotePrefix="1">
      <alignment/>
    </xf>
    <xf numFmtId="4" fontId="0" fillId="0" borderId="0" xfId="0" applyNumberFormat="1" applyAlignment="1">
      <alignment/>
    </xf>
    <xf numFmtId="10" fontId="0" fillId="0" borderId="0" xfId="0" applyNumberFormat="1" applyAlignment="1">
      <alignment/>
    </xf>
    <xf numFmtId="0" fontId="0" fillId="0" borderId="14" xfId="0" applyFont="1" applyBorder="1" applyAlignment="1">
      <alignment/>
    </xf>
    <xf numFmtId="1" fontId="0" fillId="0" borderId="0" xfId="0" applyNumberFormat="1" applyAlignment="1">
      <alignment/>
    </xf>
    <xf numFmtId="1" fontId="1" fillId="0" borderId="0" xfId="0" applyNumberFormat="1" applyFont="1" applyAlignment="1">
      <alignment/>
    </xf>
    <xf numFmtId="1" fontId="4" fillId="0" borderId="0" xfId="0" applyNumberFormat="1" applyFont="1" applyAlignment="1">
      <alignment/>
    </xf>
    <xf numFmtId="1" fontId="0" fillId="0" borderId="0" xfId="0" applyNumberFormat="1" applyFill="1" applyAlignment="1">
      <alignment/>
    </xf>
    <xf numFmtId="1" fontId="0" fillId="0" borderId="0" xfId="0" applyNumberFormat="1" applyFont="1" applyAlignment="1">
      <alignment/>
    </xf>
    <xf numFmtId="3" fontId="0" fillId="0" borderId="0" xfId="0" applyNumberFormat="1" applyFont="1" applyFill="1" applyAlignment="1">
      <alignment/>
    </xf>
    <xf numFmtId="3" fontId="2" fillId="0" borderId="13" xfId="0" applyNumberFormat="1" applyFont="1" applyBorder="1" applyAlignment="1">
      <alignment horizontal="center" vertical="center"/>
    </xf>
    <xf numFmtId="3" fontId="1" fillId="32" borderId="13" xfId="0" applyNumberFormat="1" applyFont="1" applyFill="1" applyBorder="1" applyAlignment="1">
      <alignment/>
    </xf>
    <xf numFmtId="3" fontId="2" fillId="0" borderId="13" xfId="0" applyNumberFormat="1" applyFont="1" applyFill="1" applyBorder="1" applyAlignment="1">
      <alignment/>
    </xf>
    <xf numFmtId="3" fontId="3" fillId="0" borderId="13" xfId="0" applyNumberFormat="1" applyFont="1" applyBorder="1" applyAlignment="1">
      <alignment/>
    </xf>
    <xf numFmtId="3" fontId="2" fillId="0" borderId="12" xfId="0" applyNumberFormat="1" applyFont="1" applyBorder="1" applyAlignment="1">
      <alignment horizontal="center" vertical="center"/>
    </xf>
    <xf numFmtId="3" fontId="1" fillId="32" borderId="13" xfId="0" applyNumberFormat="1" applyFont="1" applyFill="1" applyBorder="1" applyAlignment="1">
      <alignment vertical="center"/>
    </xf>
    <xf numFmtId="3" fontId="2" fillId="32" borderId="13" xfId="0" applyNumberFormat="1" applyFont="1" applyFill="1" applyBorder="1" applyAlignment="1">
      <alignment vertical="center"/>
    </xf>
    <xf numFmtId="3" fontId="2" fillId="0" borderId="13" xfId="0" applyNumberFormat="1" applyFont="1" applyBorder="1" applyAlignment="1">
      <alignment vertical="center"/>
    </xf>
    <xf numFmtId="3" fontId="0" fillId="0" borderId="13" xfId="0" applyNumberFormat="1" applyFont="1" applyBorder="1" applyAlignment="1">
      <alignment vertical="center"/>
    </xf>
    <xf numFmtId="3" fontId="0" fillId="0" borderId="12" xfId="46" applyNumberFormat="1" applyFont="1" applyBorder="1" applyAlignment="1">
      <alignment vertical="center"/>
      <protection/>
    </xf>
    <xf numFmtId="3" fontId="0" fillId="0" borderId="12" xfId="46" applyNumberFormat="1" applyFont="1" applyFill="1" applyBorder="1" applyAlignment="1">
      <alignment vertical="center"/>
      <protection/>
    </xf>
    <xf numFmtId="3" fontId="0" fillId="0" borderId="13" xfId="0" applyNumberFormat="1" applyFont="1" applyFill="1" applyBorder="1" applyAlignment="1">
      <alignment vertical="center"/>
    </xf>
    <xf numFmtId="3" fontId="4" fillId="0" borderId="13" xfId="0" applyNumberFormat="1" applyFont="1" applyBorder="1" applyAlignment="1">
      <alignment horizontal="left" indent="1"/>
    </xf>
    <xf numFmtId="3" fontId="7" fillId="32" borderId="13" xfId="0" applyNumberFormat="1" applyFont="1" applyFill="1" applyBorder="1" applyAlignment="1">
      <alignment/>
    </xf>
    <xf numFmtId="3" fontId="7" fillId="0" borderId="13" xfId="0" applyNumberFormat="1" applyFont="1" applyFill="1" applyBorder="1" applyAlignment="1">
      <alignment/>
    </xf>
    <xf numFmtId="3" fontId="0" fillId="0" borderId="13" xfId="0" applyNumberFormat="1" applyFont="1" applyFill="1" applyBorder="1" applyAlignment="1">
      <alignment/>
    </xf>
    <xf numFmtId="3" fontId="9" fillId="0" borderId="13" xfId="0" applyNumberFormat="1" applyFont="1" applyFill="1" applyBorder="1" applyAlignment="1">
      <alignment/>
    </xf>
    <xf numFmtId="3" fontId="0" fillId="0" borderId="13" xfId="0" applyNumberFormat="1" applyFont="1" applyBorder="1" applyAlignment="1">
      <alignment/>
    </xf>
    <xf numFmtId="3" fontId="0" fillId="0" borderId="0" xfId="0" applyNumberFormat="1" applyFont="1" applyBorder="1" applyAlignment="1">
      <alignment/>
    </xf>
    <xf numFmtId="3" fontId="1" fillId="32" borderId="12" xfId="0" applyNumberFormat="1" applyFont="1" applyFill="1" applyBorder="1" applyAlignment="1">
      <alignment vertical="center"/>
    </xf>
    <xf numFmtId="3" fontId="8" fillId="32" borderId="13" xfId="0" applyNumberFormat="1" applyFont="1" applyFill="1" applyBorder="1" applyAlignment="1">
      <alignment/>
    </xf>
    <xf numFmtId="3" fontId="7" fillId="33" borderId="13" xfId="0" applyNumberFormat="1" applyFont="1" applyFill="1" applyBorder="1" applyAlignment="1">
      <alignment/>
    </xf>
    <xf numFmtId="3" fontId="0" fillId="0" borderId="14" xfId="0" applyNumberFormat="1" applyFont="1" applyBorder="1" applyAlignment="1">
      <alignment/>
    </xf>
    <xf numFmtId="3" fontId="9" fillId="35" borderId="13" xfId="0" applyNumberFormat="1" applyFont="1" applyFill="1" applyBorder="1" applyAlignment="1">
      <alignment/>
    </xf>
    <xf numFmtId="3" fontId="4" fillId="0" borderId="0" xfId="0" applyNumberFormat="1" applyFont="1" applyBorder="1" applyAlignment="1">
      <alignment horizontal="left" indent="1"/>
    </xf>
    <xf numFmtId="3" fontId="4" fillId="0" borderId="13" xfId="0" applyNumberFormat="1" applyFont="1" applyBorder="1" applyAlignment="1">
      <alignment/>
    </xf>
    <xf numFmtId="3" fontId="0" fillId="0" borderId="13" xfId="0" applyNumberFormat="1" applyFont="1" applyBorder="1" applyAlignment="1">
      <alignment/>
    </xf>
    <xf numFmtId="3" fontId="55" fillId="0" borderId="13" xfId="0" applyNumberFormat="1" applyFont="1" applyBorder="1" applyAlignment="1">
      <alignment/>
    </xf>
    <xf numFmtId="3" fontId="56" fillId="0" borderId="13" xfId="0" applyNumberFormat="1" applyFont="1" applyBorder="1" applyAlignment="1">
      <alignment/>
    </xf>
    <xf numFmtId="3" fontId="56" fillId="0" borderId="0" xfId="0" applyNumberFormat="1" applyFont="1" applyAlignment="1">
      <alignment/>
    </xf>
    <xf numFmtId="174" fontId="0" fillId="0" borderId="0" xfId="0" applyNumberFormat="1" applyAlignment="1">
      <alignment/>
    </xf>
    <xf numFmtId="174" fontId="1" fillId="0" borderId="0" xfId="0" applyNumberFormat="1" applyFont="1" applyAlignment="1">
      <alignment/>
    </xf>
    <xf numFmtId="174" fontId="2" fillId="0" borderId="0" xfId="0" applyNumberFormat="1" applyFont="1" applyAlignment="1">
      <alignment/>
    </xf>
    <xf numFmtId="174" fontId="0" fillId="0" borderId="0" xfId="0" applyNumberFormat="1" applyFill="1" applyAlignment="1">
      <alignment/>
    </xf>
    <xf numFmtId="174" fontId="0" fillId="0" borderId="0" xfId="0" applyNumberFormat="1" applyFont="1" applyFill="1" applyAlignment="1">
      <alignment/>
    </xf>
    <xf numFmtId="174" fontId="4" fillId="0" borderId="0" xfId="0" applyNumberFormat="1" applyFont="1" applyAlignment="1">
      <alignment/>
    </xf>
    <xf numFmtId="174" fontId="6" fillId="0" borderId="0" xfId="0" applyNumberFormat="1" applyFont="1" applyAlignment="1">
      <alignment/>
    </xf>
    <xf numFmtId="174" fontId="56" fillId="0" borderId="0" xfId="0" applyNumberFormat="1" applyFont="1" applyAlignment="1">
      <alignment/>
    </xf>
    <xf numFmtId="174" fontId="0" fillId="0" borderId="0" xfId="0" applyNumberFormat="1" applyFont="1" applyAlignment="1">
      <alignment/>
    </xf>
    <xf numFmtId="3" fontId="0" fillId="36" borderId="0" xfId="0" applyNumberFormat="1" applyFill="1" applyAlignment="1">
      <alignment/>
    </xf>
    <xf numFmtId="3" fontId="0" fillId="36" borderId="13" xfId="0" applyNumberFormat="1" applyFont="1" applyFill="1" applyBorder="1" applyAlignment="1">
      <alignment wrapText="1"/>
    </xf>
    <xf numFmtId="0" fontId="0" fillId="36" borderId="13" xfId="0" applyFont="1" applyFill="1" applyBorder="1" applyAlignment="1">
      <alignment/>
    </xf>
    <xf numFmtId="3" fontId="0" fillId="36" borderId="13" xfId="0" applyNumberFormat="1" applyFont="1" applyFill="1" applyBorder="1" applyAlignment="1">
      <alignment/>
    </xf>
    <xf numFmtId="3" fontId="2" fillId="36" borderId="13" xfId="0" applyNumberFormat="1" applyFont="1" applyFill="1" applyBorder="1" applyAlignment="1">
      <alignment/>
    </xf>
    <xf numFmtId="3" fontId="0" fillId="36" borderId="13" xfId="0" applyNumberFormat="1" applyFill="1" applyBorder="1" applyAlignment="1">
      <alignment/>
    </xf>
    <xf numFmtId="0" fontId="0" fillId="0" borderId="0" xfId="0" applyFont="1" applyFill="1" applyAlignment="1">
      <alignment/>
    </xf>
    <xf numFmtId="14" fontId="2" fillId="0" borderId="0" xfId="0" applyNumberFormat="1" applyFont="1" applyBorder="1" applyAlignment="1" quotePrefix="1">
      <alignment horizontal="right"/>
    </xf>
    <xf numFmtId="14" fontId="2" fillId="0" borderId="0" xfId="0" applyNumberFormat="1" applyFont="1" applyBorder="1" applyAlignment="1" quotePrefix="1">
      <alignment/>
    </xf>
    <xf numFmtId="0" fontId="2" fillId="0" borderId="0" xfId="0" applyFont="1" applyFill="1" applyBorder="1" applyAlignment="1">
      <alignment/>
    </xf>
    <xf numFmtId="3" fontId="2" fillId="0" borderId="0" xfId="0" applyNumberFormat="1" applyFont="1" applyFill="1" applyBorder="1" applyAlignment="1">
      <alignment/>
    </xf>
    <xf numFmtId="3" fontId="54" fillId="0" borderId="0" xfId="0" applyNumberFormat="1" applyFont="1" applyBorder="1" applyAlignment="1">
      <alignment/>
    </xf>
    <xf numFmtId="0" fontId="0" fillId="0" borderId="13" xfId="0" applyFont="1" applyBorder="1" applyAlignment="1">
      <alignment horizontal="center" vertical="center" wrapText="1"/>
    </xf>
    <xf numFmtId="0" fontId="0" fillId="36" borderId="13" xfId="0" applyFont="1" applyFill="1" applyBorder="1" applyAlignment="1">
      <alignment/>
    </xf>
    <xf numFmtId="3" fontId="0" fillId="36" borderId="13" xfId="0" applyNumberFormat="1" applyFont="1" applyFill="1" applyBorder="1" applyAlignment="1">
      <alignment/>
    </xf>
  </cellXfs>
  <cellStyles count="50">
    <cellStyle name="Normal" xfId="0"/>
    <cellStyle name="20% – rõhk1" xfId="15"/>
    <cellStyle name="20% – rõhk2" xfId="16"/>
    <cellStyle name="20% – rõhk3" xfId="17"/>
    <cellStyle name="20% – rõhk4" xfId="18"/>
    <cellStyle name="20% – rõhk5" xfId="19"/>
    <cellStyle name="20% – rõhk6" xfId="20"/>
    <cellStyle name="40% – rõhk1" xfId="21"/>
    <cellStyle name="40% – rõhk2" xfId="22"/>
    <cellStyle name="40% – rõhk3" xfId="23"/>
    <cellStyle name="40% – rõhk4" xfId="24"/>
    <cellStyle name="40% – rõhk5" xfId="25"/>
    <cellStyle name="40% – rõhk6" xfId="26"/>
    <cellStyle name="60% – rõhk1" xfId="27"/>
    <cellStyle name="60% – rõhk2" xfId="28"/>
    <cellStyle name="60% – rõhk3" xfId="29"/>
    <cellStyle name="60% – rõhk4" xfId="30"/>
    <cellStyle name="60% – rõhk5" xfId="31"/>
    <cellStyle name="60% – rõhk6" xfId="32"/>
    <cellStyle name="Arvutus" xfId="33"/>
    <cellStyle name="Halb" xfId="34"/>
    <cellStyle name="Hea" xfId="35"/>
    <cellStyle name="Hoiatuse tekst" xfId="36"/>
    <cellStyle name="Hyperlink" xfId="37"/>
    <cellStyle name="Kokku" xfId="38"/>
    <cellStyle name="Comma" xfId="39"/>
    <cellStyle name="Comma [0]" xfId="40"/>
    <cellStyle name="Kontrolli lahtrit" xfId="41"/>
    <cellStyle name="Followed Hyperlink" xfId="42"/>
    <cellStyle name="Lingitud lahter" xfId="43"/>
    <cellStyle name="Märkus" xfId="44"/>
    <cellStyle name="Neutraalne" xfId="45"/>
    <cellStyle name="Normal 2" xfId="46"/>
    <cellStyle name="Pealkiri 1" xfId="47"/>
    <cellStyle name="Pealkiri 2" xfId="48"/>
    <cellStyle name="Pealkiri 3" xfId="49"/>
    <cellStyle name="Pealkiri 4" xfId="50"/>
    <cellStyle name="Percent" xfId="51"/>
    <cellStyle name="Rõhk1" xfId="52"/>
    <cellStyle name="Rõhk2" xfId="53"/>
    <cellStyle name="Rõhk3" xfId="54"/>
    <cellStyle name="Rõhk4" xfId="55"/>
    <cellStyle name="Rõhk5" xfId="56"/>
    <cellStyle name="Rõhk6" xfId="57"/>
    <cellStyle name="Selgitav tekst" xfId="58"/>
    <cellStyle name="Sisend" xfId="59"/>
    <cellStyle name="Currency" xfId="60"/>
    <cellStyle name="Currency [0]" xfId="61"/>
    <cellStyle name="Väljund" xfId="62"/>
    <cellStyle name="Üldpealkiri" xfId="63"/>
  </cellStyles>
  <dxfs count="3">
    <dxf>
      <border>
        <left style="thin"/>
        <right style="thin"/>
        <top style="thin"/>
        <bottom style="thin"/>
      </border>
    </dxf>
    <dxf>
      <fill>
        <patternFill patternType="solid">
          <bgColor rgb="FFCCCCFF"/>
        </patternFill>
      </fill>
      <border/>
    </dxf>
    <dxf>
      <font>
        <b/>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pivotCacheDefinition" Target="pivotCache/pivotCacheDefinition1.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keelva.laaneharju.local\Osak\Rahandus\2019%20eelarve\Eelarve%202019%20projekt%20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HV 2018 eelarve pr"/>
      <sheetName val="Õpilaste ja laste arv"/>
      <sheetName val="Vallavalitsuse kulud"/>
      <sheetName val="Ivesteeringud"/>
      <sheetName val="Lasteaedade ja koolide kulud"/>
      <sheetName val="Investeeringute soovid"/>
      <sheetName val="Sots komisjoni ettepanekud"/>
    </sheetNames>
    <sheetDataSet>
      <sheetData sheetId="0">
        <row r="85">
          <cell r="C85" t="str">
            <v>Paldiski Põhikool </v>
          </cell>
        </row>
        <row r="86">
          <cell r="C86" t="str">
            <v>Paldiski Vene Põhikool</v>
          </cell>
        </row>
        <row r="87">
          <cell r="C87" t="str">
            <v>Klooga kool</v>
          </cell>
        </row>
        <row r="88">
          <cell r="C88" t="str">
            <v>Laulasmaa kool</v>
          </cell>
        </row>
        <row r="89">
          <cell r="C89" t="str">
            <v>Lehola kool</v>
          </cell>
        </row>
        <row r="90">
          <cell r="C90" t="str">
            <v>Padise Põhikool</v>
          </cell>
        </row>
        <row r="91">
          <cell r="C91" t="str">
            <v>Risti Põhikool</v>
          </cell>
        </row>
        <row r="92">
          <cell r="C92" t="str">
            <v>Vasalemma Põhikool</v>
          </cell>
        </row>
        <row r="93">
          <cell r="C93" t="str">
            <v>Ämari Põhikool</v>
          </cell>
        </row>
        <row r="95">
          <cell r="C95" t="str">
            <v>Gümnaasium</v>
          </cell>
        </row>
        <row r="128">
          <cell r="C128" t="str">
            <v>Paldiski lasteaed Naerulind</v>
          </cell>
        </row>
        <row r="129">
          <cell r="C129" t="str">
            <v>Paldiski lasteaed Sipsik</v>
          </cell>
        </row>
        <row r="130">
          <cell r="C130" t="str">
            <v>Klooga lasteaed</v>
          </cell>
        </row>
        <row r="131">
          <cell r="C131" t="str">
            <v>Laulasmaa lasteaed</v>
          </cell>
        </row>
        <row r="132">
          <cell r="C132" t="str">
            <v>Lehola lasteaed</v>
          </cell>
        </row>
        <row r="133">
          <cell r="C133" t="str">
            <v>Padise lasteaed</v>
          </cell>
        </row>
        <row r="134">
          <cell r="C134" t="str">
            <v>Risti lasteaed</v>
          </cell>
        </row>
        <row r="135">
          <cell r="C135" t="str">
            <v>Vasalemma lasteaed</v>
          </cell>
        </row>
        <row r="136">
          <cell r="C136" t="str">
            <v>Rummu lasteaed</v>
          </cell>
        </row>
      </sheetData>
    </sheetDataSet>
  </externalBook>
</externalLink>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cacheFields count="15">
    <cacheField name="?ppeasutus, kus ?pib">
      <sharedItems containsMixedTypes="0" count="10">
        <s v="Laulasmaa Kool"/>
        <s v="Klooga kool"/>
        <s v="Lehola Kool"/>
        <s v="Padise Põhikool"/>
        <s v="Paldiski Põhikool"/>
        <s v="Paldiski Vene Põhikool"/>
        <s v="Paldiski Ühisgümnaasium"/>
        <s v="Risti Kool"/>
        <s v="Vasalemma Põhikool"/>
        <s v="Ämari Põhikool"/>
      </sharedItems>
    </cacheField>
    <cacheField name="?ppekeel">
      <sharedItems containsMixedTypes="0"/>
    </cacheField>
    <cacheField name="Klassi liik">
      <sharedItems containsMixedTypes="0"/>
    </cacheField>
    <cacheField name="Klassi number">
      <sharedItems containsMixedTypes="0"/>
    </cacheField>
    <cacheField name="Klassi paralleeli tunnus">
      <sharedItems containsMixedTypes="0"/>
    </cacheField>
    <cacheField name="Liitklassi tunnus">
      <sharedItems containsMixedTypes="0"/>
    </cacheField>
    <cacheField name="?ppekava">
      <sharedItems containsMixedTypes="0"/>
    </cacheField>
    <cacheField name="Perekonnanimi">
      <sharedItems containsMixedTypes="0"/>
    </cacheField>
    <cacheField name="Eesnimi">
      <sharedItems containsMixedTypes="0"/>
    </cacheField>
    <cacheField name="Sugu">
      <sharedItems containsMixedTypes="0"/>
    </cacheField>
    <cacheField name="Klassi aste">
      <sharedItems containsMixedTypes="0"/>
    </cacheField>
    <cacheField name="?ppevorm">
      <sharedItems containsMixedTypes="0"/>
    </cacheField>
    <cacheField name="Viibib kinnipidamisasutuses">
      <sharedItems containsMixedTypes="0"/>
    </cacheField>
    <cacheField name="?ppeaasta">
      <sharedItems containsSemiMixedTypes="0" containsString="0" containsMixedTypes="0" containsNumber="1" containsInteger="1"/>
    </cacheField>
    <cacheField name="S?nniaeg">
      <sharedItems containsSemiMixedTypes="0" containsNonDate="0" containsDate="1" containsString="0" containsMixedTypes="0"/>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1" cacheId="1" applyNumberFormats="0" applyBorderFormats="0" applyFontFormats="0" applyPatternFormats="0" applyAlignmentFormats="0" applyWidthHeightFormats="0" dataCaption="Values" grandTotalCaption="Kokku" showMissing="1" preserveFormatting="1" useAutoFormatting="1" itemPrintTitles="1" compactData="0" updatedVersion="2" indent="0" showMemberPropertyTips="1">
  <location ref="A2:B13" firstHeaderRow="1" firstDataRow="1" firstDataCol="1"/>
  <pivotFields count="15">
    <pivotField axis="axisRow" showAll="0">
      <items count="11">
        <item x="0"/>
        <item x="3"/>
        <item x="4"/>
        <item x="5"/>
        <item x="6"/>
        <item x="7"/>
        <item x="8"/>
        <item x="9"/>
        <item x="1"/>
        <item x="2"/>
        <item t="default"/>
      </items>
    </pivotField>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numFmtId="14"/>
  </pivotFields>
  <rowFields count="1">
    <field x="0"/>
  </rowFields>
  <rowItems count="11">
    <i>
      <x/>
    </i>
    <i>
      <x v="1"/>
    </i>
    <i>
      <x v="2"/>
    </i>
    <i>
      <x v="3"/>
    </i>
    <i>
      <x v="4"/>
    </i>
    <i>
      <x v="5"/>
    </i>
    <i>
      <x v="6"/>
    </i>
    <i>
      <x v="7"/>
    </i>
    <i>
      <x v="8"/>
    </i>
    <i>
      <x v="9"/>
    </i>
    <i t="grand">
      <x/>
    </i>
  </rowItems>
  <colItems count="1">
    <i/>
  </colItems>
  <dataFields count="1">
    <dataField name="?pilaste arv" fld="7" subtotal="count" baseField="0" baseItem="0"/>
  </dataFields>
  <pivotTableStyleInfo name="PivotStyleLight16" showRowHeaders="1" showColHeaders="1" showRowStripes="0" showColStripes="0" showLastColumn="1"/>
</pivotTableDefinition>
</file>

<file path=xl/pivotTables/pivotTable2.xml><?xml version="1.0" encoding="utf-8"?>
<pivotTableDefinition xmlns="http://schemas.openxmlformats.org/spreadsheetml/2006/main" name="PivotTable1" cacheId="1" applyNumberFormats="0" applyBorderFormats="0" applyFontFormats="0" applyPatternFormats="0" applyAlignmentFormats="0" applyWidthHeightFormats="0" dataCaption="Values" grandTotalCaption="Kokku" showMissing="1" preserveFormatting="1" useAutoFormatting="1" itemPrintTitles="1" compactData="0" updatedVersion="2" indent="0" showMemberPropertyTips="1">
  <location ref="A29:B40" firstHeaderRow="1" firstDataRow="1" firstDataCol="1"/>
  <pivotFields count="15">
    <pivotField axis="axisRow" showAll="0">
      <items count="11">
        <item x="0"/>
        <item x="3"/>
        <item x="4"/>
        <item x="5"/>
        <item x="6"/>
        <item x="7"/>
        <item x="8"/>
        <item x="9"/>
        <item x="1"/>
        <item x="2"/>
        <item t="default"/>
      </items>
    </pivotField>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numFmtId="14"/>
  </pivotFields>
  <rowFields count="1">
    <field x="0"/>
  </rowFields>
  <rowItems count="11">
    <i>
      <x/>
    </i>
    <i>
      <x v="1"/>
    </i>
    <i>
      <x v="2"/>
    </i>
    <i>
      <x v="3"/>
    </i>
    <i>
      <x v="4"/>
    </i>
    <i>
      <x v="5"/>
    </i>
    <i>
      <x v="6"/>
    </i>
    <i>
      <x v="7"/>
    </i>
    <i>
      <x v="8"/>
    </i>
    <i>
      <x v="9"/>
    </i>
    <i t="grand">
      <x/>
    </i>
  </rowItems>
  <colItems count="1">
    <i/>
  </colItems>
  <dataFields count="1">
    <dataField name="?pilaste arv 2018" fld="7" subtotal="count" baseField="0" baseItem="0"/>
  </dataFields>
  <formats count="4">
    <format dxfId="0">
      <pivotArea outline="0" fieldPosition="0">
        <references count="1">
          <reference field="0" count="0"/>
        </references>
      </pivotArea>
    </format>
    <format dxfId="0">
      <pivotArea outline="0" fieldPosition="0" dataOnly="0" labelOnly="1">
        <references count="1">
          <reference field="0" count="0"/>
        </references>
      </pivotArea>
    </format>
    <format dxfId="1">
      <pivotArea outline="0" fieldPosition="0" axis="axisValues" dataOnly="0" labelOnly="1"/>
    </format>
    <format dxfId="2">
      <pivotArea outline="0" fieldPosition="0" axis="axisValues" dataOnly="0" labelOnly="1"/>
    </format>
  </formats>
  <pivotTableStyleInfo name="PivotStyleLight16"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pivotTable" Target="../pivotTables/pivotTable1.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ivotTable" Target="../pivotTables/pivotTable2.x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U268"/>
  <sheetViews>
    <sheetView showZeros="0" tabSelected="1" zoomScale="90" zoomScaleNormal="90" zoomScalePageLayoutView="0" workbookViewId="0" topLeftCell="A1">
      <selection activeCell="H37" sqref="H37"/>
    </sheetView>
  </sheetViews>
  <sheetFormatPr defaultColWidth="9.140625" defaultRowHeight="12.75"/>
  <cols>
    <col min="1" max="1" width="7.57421875" style="135" bestFit="1" customWidth="1"/>
    <col min="2" max="2" width="7.7109375" style="0" customWidth="1"/>
    <col min="3" max="3" width="6.00390625" style="0" bestFit="1" customWidth="1"/>
    <col min="4" max="4" width="66.421875" style="0" customWidth="1"/>
    <col min="5" max="5" width="17.8515625" style="9" customWidth="1"/>
    <col min="6" max="6" width="14.8515625" style="94" customWidth="1"/>
    <col min="7" max="7" width="11.7109375" style="9" customWidth="1"/>
    <col min="8" max="8" width="13.00390625" style="171" customWidth="1"/>
    <col min="9" max="9" width="11.8515625" style="0" customWidth="1"/>
    <col min="10" max="10" width="11.00390625" style="0" customWidth="1"/>
    <col min="13" max="13" width="10.7109375" style="9" bestFit="1" customWidth="1"/>
    <col min="18" max="18" width="13.7109375" style="0" customWidth="1"/>
    <col min="19" max="19" width="10.00390625" style="0" customWidth="1"/>
  </cols>
  <sheetData>
    <row r="1" spans="2:7" ht="15.75">
      <c r="B1" s="1" t="s">
        <v>258</v>
      </c>
      <c r="G1" s="132">
        <v>1.055</v>
      </c>
    </row>
    <row r="3" ht="15">
      <c r="B3" s="4" t="s">
        <v>10</v>
      </c>
    </row>
    <row r="4" ht="15">
      <c r="B4" s="4"/>
    </row>
    <row r="5" spans="1:9" ht="38.25" customHeight="1">
      <c r="A5" s="139" t="s">
        <v>246</v>
      </c>
      <c r="B5" s="29" t="s">
        <v>0</v>
      </c>
      <c r="C5" s="30" t="s">
        <v>147</v>
      </c>
      <c r="D5" s="29" t="s">
        <v>1</v>
      </c>
      <c r="E5" s="141" t="s">
        <v>249</v>
      </c>
      <c r="F5" s="84" t="s">
        <v>173</v>
      </c>
      <c r="I5" s="8"/>
    </row>
    <row r="6" spans="1:13" s="16" customFormat="1" ht="15.75">
      <c r="A6" s="136">
        <v>3010</v>
      </c>
      <c r="B6" s="31">
        <v>3</v>
      </c>
      <c r="C6" s="31"/>
      <c r="D6" s="31" t="s">
        <v>2</v>
      </c>
      <c r="E6" s="142">
        <v>19272528.799999997</v>
      </c>
      <c r="F6" s="19">
        <f>F8+F12+F22+F28</f>
        <v>20095302</v>
      </c>
      <c r="G6" s="90"/>
      <c r="H6" s="172"/>
      <c r="M6" s="90"/>
    </row>
    <row r="7" spans="2:6" ht="12.75">
      <c r="B7" s="32"/>
      <c r="C7" s="32"/>
      <c r="D7" s="32"/>
      <c r="E7" s="37"/>
      <c r="F7" s="37"/>
    </row>
    <row r="8" spans="1:13" s="3" customFormat="1" ht="12.75">
      <c r="A8" s="130">
        <v>3050</v>
      </c>
      <c r="B8" s="33">
        <v>30</v>
      </c>
      <c r="C8" s="33"/>
      <c r="D8" s="34" t="s">
        <v>3</v>
      </c>
      <c r="E8" s="143">
        <v>12368878.799999999</v>
      </c>
      <c r="F8" s="35">
        <f>SUM(F9:F10)</f>
        <v>12741489</v>
      </c>
      <c r="G8" s="26"/>
      <c r="H8" s="173"/>
      <c r="M8" s="26"/>
    </row>
    <row r="9" spans="1:6" ht="12.75">
      <c r="A9" s="135">
        <v>3060</v>
      </c>
      <c r="B9" s="36">
        <v>3000</v>
      </c>
      <c r="C9" s="36"/>
      <c r="D9" s="36" t="s">
        <v>4</v>
      </c>
      <c r="E9" s="144">
        <v>11494074.799999999</v>
      </c>
      <c r="F9" s="59">
        <f>11500000*1.03+7685</f>
        <v>11852685</v>
      </c>
    </row>
    <row r="10" spans="1:8" ht="12.75">
      <c r="A10" s="135">
        <v>3070</v>
      </c>
      <c r="B10" s="36">
        <v>3030</v>
      </c>
      <c r="C10" s="36"/>
      <c r="D10" s="36" t="s">
        <v>5</v>
      </c>
      <c r="E10" s="144">
        <v>874804</v>
      </c>
      <c r="F10" s="185">
        <f>874804+14000</f>
        <v>888804</v>
      </c>
      <c r="G10" s="180">
        <v>14000</v>
      </c>
      <c r="H10" s="179" t="s">
        <v>274</v>
      </c>
    </row>
    <row r="11" spans="2:6" ht="12.75">
      <c r="B11" s="36"/>
      <c r="C11" s="36"/>
      <c r="D11" s="36"/>
      <c r="E11" s="144"/>
      <c r="F11" s="38"/>
    </row>
    <row r="12" spans="1:13" s="3" customFormat="1" ht="12.75">
      <c r="A12" s="130">
        <v>3210</v>
      </c>
      <c r="B12" s="33">
        <v>32</v>
      </c>
      <c r="C12" s="33"/>
      <c r="D12" s="33" t="s">
        <v>6</v>
      </c>
      <c r="E12" s="35">
        <v>825200</v>
      </c>
      <c r="F12" s="35">
        <f>SUM(F13:F20)</f>
        <v>893200</v>
      </c>
      <c r="G12" s="26"/>
      <c r="H12" s="173"/>
      <c r="M12" s="26"/>
    </row>
    <row r="13" spans="1:6" ht="12.75">
      <c r="A13" s="135">
        <v>3220</v>
      </c>
      <c r="B13" s="36">
        <v>320</v>
      </c>
      <c r="C13" s="36"/>
      <c r="D13" s="36" t="s">
        <v>7</v>
      </c>
      <c r="E13" s="144">
        <v>23000</v>
      </c>
      <c r="F13" s="38">
        <v>23000</v>
      </c>
    </row>
    <row r="14" spans="1:6" ht="12.75">
      <c r="A14" s="135">
        <v>3230</v>
      </c>
      <c r="B14" s="39">
        <v>322</v>
      </c>
      <c r="C14" s="36"/>
      <c r="D14" s="36" t="s">
        <v>171</v>
      </c>
      <c r="E14" s="144">
        <v>347000</v>
      </c>
      <c r="F14" s="38">
        <f>347000+33000</f>
        <v>380000</v>
      </c>
    </row>
    <row r="15" spans="1:7" ht="12.75">
      <c r="A15" s="135">
        <v>3240</v>
      </c>
      <c r="B15" s="39">
        <v>322</v>
      </c>
      <c r="C15" s="36"/>
      <c r="D15" s="36" t="s">
        <v>169</v>
      </c>
      <c r="E15" s="144">
        <v>240000</v>
      </c>
      <c r="F15" s="38">
        <f>140000+100000</f>
        <v>240000</v>
      </c>
      <c r="G15" s="91"/>
    </row>
    <row r="16" spans="1:6" ht="12.75">
      <c r="A16" s="135">
        <v>3250</v>
      </c>
      <c r="B16" s="39">
        <v>322</v>
      </c>
      <c r="C16" s="36"/>
      <c r="D16" s="36" t="s">
        <v>148</v>
      </c>
      <c r="E16" s="144">
        <v>14200</v>
      </c>
      <c r="F16" s="38">
        <v>14200</v>
      </c>
    </row>
    <row r="17" spans="1:6" ht="12.75">
      <c r="A17" s="135">
        <v>3260</v>
      </c>
      <c r="B17" s="39">
        <v>322</v>
      </c>
      <c r="C17" s="36"/>
      <c r="D17" s="36" t="s">
        <v>149</v>
      </c>
      <c r="E17" s="144">
        <v>29000</v>
      </c>
      <c r="F17" s="38">
        <v>19000</v>
      </c>
    </row>
    <row r="18" spans="1:6" ht="12.75">
      <c r="A18" s="135">
        <v>3270</v>
      </c>
      <c r="B18" s="39">
        <v>322</v>
      </c>
      <c r="C18" s="36"/>
      <c r="D18" s="36" t="s">
        <v>77</v>
      </c>
      <c r="E18" s="144">
        <v>130000</v>
      </c>
      <c r="F18" s="38">
        <v>130000</v>
      </c>
    </row>
    <row r="19" spans="1:7" ht="12.75">
      <c r="A19" s="135">
        <v>3280</v>
      </c>
      <c r="B19" s="39">
        <v>322</v>
      </c>
      <c r="C19" s="36"/>
      <c r="D19" s="36" t="s">
        <v>150</v>
      </c>
      <c r="E19" s="144">
        <v>12000</v>
      </c>
      <c r="F19" s="38">
        <f>12000+35000</f>
        <v>47000</v>
      </c>
      <c r="G19" s="9" t="s">
        <v>193</v>
      </c>
    </row>
    <row r="20" spans="1:6" ht="12.75">
      <c r="A20" s="135">
        <v>3290</v>
      </c>
      <c r="B20" s="39">
        <v>322</v>
      </c>
      <c r="C20" s="36"/>
      <c r="D20" s="36" t="s">
        <v>172</v>
      </c>
      <c r="E20" s="144">
        <v>30000</v>
      </c>
      <c r="F20" s="38">
        <v>40000</v>
      </c>
    </row>
    <row r="21" spans="2:6" ht="12.75">
      <c r="B21" s="36"/>
      <c r="C21" s="36"/>
      <c r="D21" s="36"/>
      <c r="E21" s="144"/>
      <c r="F21" s="38"/>
    </row>
    <row r="22" spans="1:13" s="3" customFormat="1" ht="12.75">
      <c r="A22" s="130">
        <v>3510</v>
      </c>
      <c r="B22" s="33">
        <v>35</v>
      </c>
      <c r="C22" s="33"/>
      <c r="D22" s="33" t="s">
        <v>8</v>
      </c>
      <c r="E22" s="35">
        <v>5875450</v>
      </c>
      <c r="F22" s="35">
        <f>SUM(F23:F26)</f>
        <v>6310613</v>
      </c>
      <c r="G22" s="26"/>
      <c r="H22" s="173"/>
      <c r="M22" s="26"/>
    </row>
    <row r="23" spans="1:11" ht="12.75">
      <c r="A23" s="135">
        <v>3520</v>
      </c>
      <c r="B23" s="39">
        <v>35200</v>
      </c>
      <c r="C23" s="36"/>
      <c r="D23" s="36" t="s">
        <v>102</v>
      </c>
      <c r="E23" s="144">
        <v>5291396</v>
      </c>
      <c r="F23" s="185">
        <v>5307577</v>
      </c>
      <c r="G23" s="171">
        <f>F23/E23-1</f>
        <v>0.003057983186289581</v>
      </c>
      <c r="K23" s="8" t="s">
        <v>297</v>
      </c>
    </row>
    <row r="24" spans="1:11" ht="12.75">
      <c r="A24" s="135">
        <v>3530</v>
      </c>
      <c r="B24" s="39">
        <v>35201</v>
      </c>
      <c r="C24" s="36"/>
      <c r="D24" s="36" t="s">
        <v>101</v>
      </c>
      <c r="E24" s="144">
        <v>427846</v>
      </c>
      <c r="F24" s="185">
        <v>676307</v>
      </c>
      <c r="G24" s="171">
        <f>F24/E24-1</f>
        <v>0.5807253077041739</v>
      </c>
      <c r="I24" s="9">
        <f>E23+E24</f>
        <v>5719242</v>
      </c>
      <c r="J24" s="9">
        <f>F23+F24</f>
        <v>5983884</v>
      </c>
      <c r="K24" s="171">
        <f>J24/I24-1</f>
        <v>0.0462722157936315</v>
      </c>
    </row>
    <row r="25" spans="1:6" ht="12.75">
      <c r="A25" s="135">
        <v>3540</v>
      </c>
      <c r="B25" s="39">
        <v>350</v>
      </c>
      <c r="C25" s="36"/>
      <c r="D25" s="36" t="s">
        <v>216</v>
      </c>
      <c r="E25" s="144">
        <v>0</v>
      </c>
      <c r="F25" s="38">
        <f>9752*2</f>
        <v>19504</v>
      </c>
    </row>
    <row r="26" spans="1:7" ht="12.75">
      <c r="A26" s="135">
        <v>3550</v>
      </c>
      <c r="B26" s="39">
        <v>350</v>
      </c>
      <c r="C26" s="36"/>
      <c r="D26" s="36" t="s">
        <v>170</v>
      </c>
      <c r="E26" s="144">
        <v>156208</v>
      </c>
      <c r="F26" s="168">
        <f>100000+193353+13872</f>
        <v>307225</v>
      </c>
      <c r="G26" s="22" t="s">
        <v>252</v>
      </c>
    </row>
    <row r="27" spans="2:6" ht="12.75">
      <c r="B27" s="36"/>
      <c r="C27" s="36"/>
      <c r="D27" s="36"/>
      <c r="E27" s="144"/>
      <c r="F27" s="38"/>
    </row>
    <row r="28" spans="1:13" s="3" customFormat="1" ht="12.75">
      <c r="A28" s="130">
        <v>3850</v>
      </c>
      <c r="B28" s="33">
        <v>38</v>
      </c>
      <c r="C28" s="33"/>
      <c r="D28" s="33" t="s">
        <v>202</v>
      </c>
      <c r="E28" s="35">
        <v>203000</v>
      </c>
      <c r="F28" s="35">
        <v>150000</v>
      </c>
      <c r="G28" s="26"/>
      <c r="H28" s="173"/>
      <c r="M28" s="26"/>
    </row>
    <row r="31" ht="15">
      <c r="B31" s="4" t="s">
        <v>11</v>
      </c>
    </row>
    <row r="32" ht="15">
      <c r="B32" s="4"/>
    </row>
    <row r="33" spans="2:6" ht="12.75">
      <c r="B33" s="2" t="str">
        <f>B$5</f>
        <v>Artikkel</v>
      </c>
      <c r="C33" s="2" t="str">
        <f>C$5</f>
        <v>TA</v>
      </c>
      <c r="D33" s="2" t="str">
        <f>D$5</f>
        <v>Kirjeldus</v>
      </c>
      <c r="E33" s="145" t="s">
        <v>249</v>
      </c>
      <c r="F33" s="84" t="str">
        <f>F$5</f>
        <v>2020 eelarve</v>
      </c>
    </row>
    <row r="34" spans="1:13" s="16" customFormat="1" ht="15.75">
      <c r="A34" s="136">
        <v>4010</v>
      </c>
      <c r="B34" s="40" t="s">
        <v>12</v>
      </c>
      <c r="C34" s="41"/>
      <c r="D34" s="42" t="s">
        <v>13</v>
      </c>
      <c r="E34" s="146">
        <v>18198146.1</v>
      </c>
      <c r="F34" s="19">
        <f>F35+F59+F103+F167</f>
        <v>19556228.904</v>
      </c>
      <c r="G34" s="90"/>
      <c r="H34" s="172"/>
      <c r="M34" s="90"/>
    </row>
    <row r="35" spans="1:13" s="3" customFormat="1" ht="12.75">
      <c r="A35" s="130">
        <v>4020</v>
      </c>
      <c r="B35" s="43">
        <v>4</v>
      </c>
      <c r="C35" s="44"/>
      <c r="D35" s="43" t="s">
        <v>14</v>
      </c>
      <c r="E35" s="147">
        <v>1628716</v>
      </c>
      <c r="F35" s="45">
        <f>SUM(F36:F57)</f>
        <v>2028200</v>
      </c>
      <c r="G35" s="26"/>
      <c r="H35" s="173"/>
      <c r="M35" s="26"/>
    </row>
    <row r="36" spans="2:6" ht="12.75">
      <c r="B36" s="46"/>
      <c r="C36" s="47"/>
      <c r="D36" s="46"/>
      <c r="E36" s="148"/>
      <c r="F36" s="38"/>
    </row>
    <row r="37" spans="1:9" ht="12.75">
      <c r="A37" s="135">
        <v>4150</v>
      </c>
      <c r="B37" s="48">
        <v>4130</v>
      </c>
      <c r="C37" s="49" t="s">
        <v>15</v>
      </c>
      <c r="D37" s="48" t="s">
        <v>16</v>
      </c>
      <c r="E37" s="149">
        <v>75000</v>
      </c>
      <c r="F37" s="38">
        <v>75000</v>
      </c>
      <c r="I37" s="21"/>
    </row>
    <row r="38" spans="1:9" ht="12.75">
      <c r="A38" s="135">
        <v>4160</v>
      </c>
      <c r="B38" s="48">
        <v>4131</v>
      </c>
      <c r="C38" s="49" t="s">
        <v>17</v>
      </c>
      <c r="D38" s="48" t="s">
        <v>18</v>
      </c>
      <c r="E38" s="149">
        <v>515000</v>
      </c>
      <c r="F38" s="38">
        <v>515000</v>
      </c>
      <c r="I38" s="21"/>
    </row>
    <row r="39" spans="1:10" ht="12.75">
      <c r="A39" s="135">
        <v>4170</v>
      </c>
      <c r="B39" s="48">
        <v>4133</v>
      </c>
      <c r="C39" s="49" t="s">
        <v>19</v>
      </c>
      <c r="D39" s="48" t="s">
        <v>109</v>
      </c>
      <c r="E39" s="149">
        <v>87000</v>
      </c>
      <c r="F39" s="38">
        <v>87000</v>
      </c>
      <c r="G39" s="91"/>
      <c r="H39" s="174"/>
      <c r="I39" s="21"/>
      <c r="J39" s="21"/>
    </row>
    <row r="40" spans="1:10" ht="12.75">
      <c r="A40" s="135">
        <v>4180</v>
      </c>
      <c r="B40" s="48">
        <v>4134</v>
      </c>
      <c r="C40" s="85" t="s">
        <v>28</v>
      </c>
      <c r="D40" s="86" t="s">
        <v>74</v>
      </c>
      <c r="E40" s="150">
        <v>78100</v>
      </c>
      <c r="F40" s="38">
        <v>90000</v>
      </c>
      <c r="G40" s="140"/>
      <c r="H40" s="175"/>
      <c r="I40" s="21"/>
      <c r="J40" s="21"/>
    </row>
    <row r="41" spans="1:9" ht="12.75">
      <c r="A41" s="135">
        <v>4190</v>
      </c>
      <c r="B41" s="48">
        <v>4134</v>
      </c>
      <c r="C41" s="85" t="s">
        <v>144</v>
      </c>
      <c r="D41" s="86" t="s">
        <v>145</v>
      </c>
      <c r="E41" s="150">
        <v>4000</v>
      </c>
      <c r="F41" s="38">
        <v>3000</v>
      </c>
      <c r="I41" s="21"/>
    </row>
    <row r="42" spans="1:9" ht="12.75">
      <c r="A42" s="135">
        <v>4200</v>
      </c>
      <c r="B42" s="48">
        <v>4134</v>
      </c>
      <c r="C42" s="49" t="s">
        <v>79</v>
      </c>
      <c r="D42" s="48" t="s">
        <v>80</v>
      </c>
      <c r="E42" s="149">
        <v>20000</v>
      </c>
      <c r="F42" s="38">
        <v>20000</v>
      </c>
      <c r="I42" s="21"/>
    </row>
    <row r="43" spans="1:9" ht="12.75">
      <c r="A43" s="135">
        <v>4210</v>
      </c>
      <c r="B43" s="48">
        <v>4138</v>
      </c>
      <c r="C43" s="49" t="s">
        <v>20</v>
      </c>
      <c r="D43" s="48" t="s">
        <v>21</v>
      </c>
      <c r="E43" s="149">
        <v>130000</v>
      </c>
      <c r="F43" s="38">
        <v>130000</v>
      </c>
      <c r="I43" s="21"/>
    </row>
    <row r="44" spans="1:9" ht="12.75">
      <c r="A44" s="135">
        <v>4220</v>
      </c>
      <c r="B44" s="48">
        <v>4138</v>
      </c>
      <c r="C44" s="50" t="s">
        <v>38</v>
      </c>
      <c r="D44" s="48" t="s">
        <v>121</v>
      </c>
      <c r="E44" s="149">
        <v>35000</v>
      </c>
      <c r="F44" s="38">
        <v>15000</v>
      </c>
      <c r="I44" s="21"/>
    </row>
    <row r="45" spans="1:9" ht="12.75">
      <c r="A45" s="135">
        <v>4230</v>
      </c>
      <c r="B45" s="48">
        <v>4137</v>
      </c>
      <c r="C45" s="49" t="s">
        <v>20</v>
      </c>
      <c r="D45" s="48" t="s">
        <v>22</v>
      </c>
      <c r="E45" s="149">
        <v>28000</v>
      </c>
      <c r="F45" s="38">
        <v>28000</v>
      </c>
      <c r="I45" s="21"/>
    </row>
    <row r="46" spans="1:9" ht="12.75">
      <c r="A46" s="135">
        <v>4240</v>
      </c>
      <c r="B46" s="48">
        <v>4139</v>
      </c>
      <c r="C46" s="49" t="s">
        <v>26</v>
      </c>
      <c r="D46" s="48" t="s">
        <v>142</v>
      </c>
      <c r="E46" s="149">
        <v>5000</v>
      </c>
      <c r="F46" s="38">
        <v>6000</v>
      </c>
      <c r="I46" s="92"/>
    </row>
    <row r="47" spans="1:9" ht="12.75">
      <c r="A47" s="135">
        <v>4250</v>
      </c>
      <c r="B47" s="48">
        <v>4139</v>
      </c>
      <c r="C47" s="49" t="s">
        <v>62</v>
      </c>
      <c r="D47" s="48" t="s">
        <v>143</v>
      </c>
      <c r="E47" s="149">
        <v>1000</v>
      </c>
      <c r="F47" s="38">
        <v>1000</v>
      </c>
      <c r="I47" s="92"/>
    </row>
    <row r="48" spans="2:6" ht="12.75">
      <c r="B48" s="48"/>
      <c r="C48" s="51"/>
      <c r="D48" s="48"/>
      <c r="E48" s="149"/>
      <c r="F48" s="38"/>
    </row>
    <row r="49" spans="1:9" ht="12.75">
      <c r="A49" s="135">
        <v>4510</v>
      </c>
      <c r="B49" s="87">
        <v>4500</v>
      </c>
      <c r="C49" s="85" t="s">
        <v>57</v>
      </c>
      <c r="D49" s="88" t="s">
        <v>256</v>
      </c>
      <c r="E49" s="151">
        <v>68000</v>
      </c>
      <c r="F49" s="38">
        <f>68000+150000</f>
        <v>218000</v>
      </c>
      <c r="I49" s="92"/>
    </row>
    <row r="50" spans="1:9" ht="12.75">
      <c r="A50" s="135">
        <v>4520</v>
      </c>
      <c r="B50" s="52">
        <v>4500</v>
      </c>
      <c r="C50" s="49" t="s">
        <v>69</v>
      </c>
      <c r="D50" s="53" t="s">
        <v>66</v>
      </c>
      <c r="E50" s="152">
        <v>7200</v>
      </c>
      <c r="F50" s="38">
        <v>7200</v>
      </c>
      <c r="I50" s="92"/>
    </row>
    <row r="51" spans="1:9" ht="12.75">
      <c r="A51" s="135">
        <v>4530</v>
      </c>
      <c r="B51" s="52">
        <v>4500</v>
      </c>
      <c r="C51" s="50" t="s">
        <v>38</v>
      </c>
      <c r="D51" s="53" t="s">
        <v>146</v>
      </c>
      <c r="E51" s="152">
        <v>264000</v>
      </c>
      <c r="F51" s="38">
        <v>264000</v>
      </c>
      <c r="I51" s="92"/>
    </row>
    <row r="52" spans="1:9" ht="12.75">
      <c r="A52" s="135">
        <v>4540</v>
      </c>
      <c r="B52" s="52">
        <v>4500</v>
      </c>
      <c r="C52" s="49" t="s">
        <v>23</v>
      </c>
      <c r="D52" s="53" t="s">
        <v>67</v>
      </c>
      <c r="E52" s="152">
        <v>70000</v>
      </c>
      <c r="F52" s="38">
        <v>70000</v>
      </c>
      <c r="I52" s="92"/>
    </row>
    <row r="53" spans="1:9" ht="12.75">
      <c r="A53" s="135">
        <v>4550</v>
      </c>
      <c r="B53" s="52">
        <v>4500</v>
      </c>
      <c r="C53" s="54" t="s">
        <v>141</v>
      </c>
      <c r="D53" s="53" t="s">
        <v>68</v>
      </c>
      <c r="E53" s="152">
        <v>54566</v>
      </c>
      <c r="F53" s="38">
        <v>50000</v>
      </c>
      <c r="I53" s="92"/>
    </row>
    <row r="54" spans="1:6" ht="12.75">
      <c r="A54" s="135">
        <v>4560</v>
      </c>
      <c r="B54" s="52">
        <v>4500</v>
      </c>
      <c r="C54" s="49" t="s">
        <v>79</v>
      </c>
      <c r="D54" s="53" t="s">
        <v>237</v>
      </c>
      <c r="E54" s="152">
        <v>137850</v>
      </c>
      <c r="F54" s="38">
        <v>400000</v>
      </c>
    </row>
    <row r="55" spans="1:9" ht="12.75">
      <c r="A55" s="135">
        <v>4570</v>
      </c>
      <c r="B55" s="52">
        <v>4528</v>
      </c>
      <c r="C55" s="49" t="s">
        <v>26</v>
      </c>
      <c r="D55" s="53" t="s">
        <v>71</v>
      </c>
      <c r="E55" s="152">
        <v>36000</v>
      </c>
      <c r="F55" s="38">
        <v>36000</v>
      </c>
      <c r="I55" s="92"/>
    </row>
    <row r="56" spans="1:9" ht="12.75">
      <c r="A56" s="135">
        <v>4580</v>
      </c>
      <c r="B56" s="52">
        <v>4528</v>
      </c>
      <c r="C56" s="49" t="s">
        <v>57</v>
      </c>
      <c r="D56" s="53" t="s">
        <v>72</v>
      </c>
      <c r="E56" s="152">
        <v>9000</v>
      </c>
      <c r="F56" s="38">
        <v>9000</v>
      </c>
      <c r="I56" s="92"/>
    </row>
    <row r="57" spans="1:9" ht="12.75">
      <c r="A57" s="135">
        <v>4590</v>
      </c>
      <c r="B57" s="52">
        <v>4528</v>
      </c>
      <c r="C57" s="54" t="s">
        <v>34</v>
      </c>
      <c r="D57" s="53" t="s">
        <v>116</v>
      </c>
      <c r="E57" s="149">
        <v>4000</v>
      </c>
      <c r="F57" s="38">
        <v>4000</v>
      </c>
      <c r="I57" s="92"/>
    </row>
    <row r="58" spans="2:6" ht="12.75">
      <c r="B58" s="55"/>
      <c r="C58" s="51"/>
      <c r="D58" s="48"/>
      <c r="E58" s="149"/>
      <c r="F58" s="38"/>
    </row>
    <row r="59" spans="1:13" s="3" customFormat="1" ht="12.75">
      <c r="A59" s="130">
        <v>5010</v>
      </c>
      <c r="B59" s="43">
        <v>50</v>
      </c>
      <c r="C59" s="44"/>
      <c r="D59" s="43" t="s">
        <v>24</v>
      </c>
      <c r="E59" s="45">
        <v>10266328.24</v>
      </c>
      <c r="F59" s="45">
        <f>F61+F62+F64+F65+F68+F69+F72+F84+F95+F96+F99+F100+F101+F63</f>
        <v>10677659</v>
      </c>
      <c r="G59" s="26"/>
      <c r="H59" s="173" t="s">
        <v>257</v>
      </c>
      <c r="M59" s="26"/>
    </row>
    <row r="60" spans="2:6" ht="12.75">
      <c r="B60" s="46"/>
      <c r="C60" s="47"/>
      <c r="D60" s="46"/>
      <c r="E60" s="148"/>
      <c r="F60" s="38"/>
    </row>
    <row r="61" spans="1:8" ht="12.75">
      <c r="A61" s="135">
        <v>5020</v>
      </c>
      <c r="B61" s="56"/>
      <c r="C61" s="56" t="s">
        <v>25</v>
      </c>
      <c r="D61" s="48" t="s">
        <v>81</v>
      </c>
      <c r="E61" s="149">
        <v>151084</v>
      </c>
      <c r="F61" s="38">
        <v>151084</v>
      </c>
      <c r="H61" s="176">
        <f aca="true" t="shared" si="0" ref="H61:H72">F61/E61-1</f>
        <v>0</v>
      </c>
    </row>
    <row r="62" spans="1:13" ht="12.75">
      <c r="A62" s="135">
        <v>5030</v>
      </c>
      <c r="B62" s="56"/>
      <c r="C62" s="56" t="s">
        <v>26</v>
      </c>
      <c r="D62" s="48" t="s">
        <v>82</v>
      </c>
      <c r="E62" s="149">
        <v>1887803</v>
      </c>
      <c r="F62" s="38">
        <f>1800000</f>
        <v>1800000</v>
      </c>
      <c r="G62" s="22"/>
      <c r="H62" s="176">
        <f t="shared" si="0"/>
        <v>-0.04651067934524944</v>
      </c>
      <c r="M62" s="22"/>
    </row>
    <row r="63" spans="2:13" ht="12.75">
      <c r="B63" s="56"/>
      <c r="C63" s="61"/>
      <c r="D63" s="48"/>
      <c r="E63" s="149"/>
      <c r="F63" s="38"/>
      <c r="G63" s="22"/>
      <c r="H63" s="176"/>
      <c r="M63" s="22"/>
    </row>
    <row r="64" spans="1:8" ht="12.75">
      <c r="A64" s="135">
        <v>5040</v>
      </c>
      <c r="B64" s="56"/>
      <c r="C64" s="60" t="s">
        <v>23</v>
      </c>
      <c r="D64" s="32" t="s">
        <v>159</v>
      </c>
      <c r="E64" s="38">
        <v>125400</v>
      </c>
      <c r="F64" s="38">
        <f>145000-3000-3000</f>
        <v>139000</v>
      </c>
      <c r="H64" s="176">
        <f t="shared" si="0"/>
        <v>0.10845295055821369</v>
      </c>
    </row>
    <row r="65" spans="1:8" ht="12.75">
      <c r="A65" s="135">
        <v>5050</v>
      </c>
      <c r="B65" s="56"/>
      <c r="C65" s="61" t="s">
        <v>95</v>
      </c>
      <c r="D65" s="48" t="s">
        <v>96</v>
      </c>
      <c r="E65" s="38">
        <v>143930</v>
      </c>
      <c r="F65" s="38">
        <f>SUM(F66:F67)</f>
        <v>176400</v>
      </c>
      <c r="H65" s="176">
        <f t="shared" si="0"/>
        <v>0.22559577572431033</v>
      </c>
    </row>
    <row r="66" spans="1:8" ht="12.75">
      <c r="A66" s="135">
        <v>5060</v>
      </c>
      <c r="B66" s="56"/>
      <c r="C66" s="63" t="s">
        <v>95</v>
      </c>
      <c r="D66" s="64" t="s">
        <v>165</v>
      </c>
      <c r="E66" s="65">
        <v>88674</v>
      </c>
      <c r="F66" s="65">
        <f>94000+13000+13400</f>
        <v>120400</v>
      </c>
      <c r="G66" s="22"/>
      <c r="H66" s="176">
        <f t="shared" si="0"/>
        <v>0.3577824390463946</v>
      </c>
    </row>
    <row r="67" spans="1:8" ht="12.75">
      <c r="A67" s="135">
        <v>5070</v>
      </c>
      <c r="B67" s="56"/>
      <c r="C67" s="63" t="s">
        <v>95</v>
      </c>
      <c r="D67" s="64" t="s">
        <v>167</v>
      </c>
      <c r="E67" s="65">
        <v>55256</v>
      </c>
      <c r="F67" s="65">
        <f>70000-14000</f>
        <v>56000</v>
      </c>
      <c r="H67" s="176">
        <f t="shared" si="0"/>
        <v>0.013464601129289155</v>
      </c>
    </row>
    <row r="68" spans="1:8" ht="12.75">
      <c r="A68" s="135">
        <v>5080</v>
      </c>
      <c r="B68" s="56"/>
      <c r="C68" s="56" t="s">
        <v>27</v>
      </c>
      <c r="D68" s="48" t="s">
        <v>83</v>
      </c>
      <c r="E68" s="38">
        <v>157138.24</v>
      </c>
      <c r="F68" s="38">
        <f>149038+8400</f>
        <v>157438</v>
      </c>
      <c r="H68" s="176">
        <f t="shared" si="0"/>
        <v>0.001907619685698414</v>
      </c>
    </row>
    <row r="69" spans="1:8" ht="12.75">
      <c r="A69" s="135">
        <v>5090</v>
      </c>
      <c r="B69" s="56"/>
      <c r="C69" s="60" t="s">
        <v>110</v>
      </c>
      <c r="D69" s="32" t="s">
        <v>111</v>
      </c>
      <c r="E69" s="38">
        <v>124726</v>
      </c>
      <c r="F69" s="38">
        <v>85000</v>
      </c>
      <c r="H69" s="176"/>
    </row>
    <row r="70" spans="2:8" ht="12.75">
      <c r="B70" s="56"/>
      <c r="C70" s="63"/>
      <c r="D70" s="64" t="s">
        <v>271</v>
      </c>
      <c r="E70" s="65">
        <v>85000</v>
      </c>
      <c r="F70" s="65"/>
      <c r="H70" s="176"/>
    </row>
    <row r="71" spans="2:8" ht="12.75">
      <c r="B71" s="56"/>
      <c r="C71" s="63"/>
      <c r="D71" s="64" t="s">
        <v>272</v>
      </c>
      <c r="E71" s="65">
        <v>39726</v>
      </c>
      <c r="F71" s="65"/>
      <c r="H71" s="176"/>
    </row>
    <row r="72" spans="1:8" ht="12.75">
      <c r="A72" s="135">
        <v>5100</v>
      </c>
      <c r="B72" s="56"/>
      <c r="C72" s="61" t="s">
        <v>28</v>
      </c>
      <c r="D72" s="48" t="s">
        <v>29</v>
      </c>
      <c r="E72" s="38">
        <v>2545300</v>
      </c>
      <c r="F72" s="38">
        <f>SUM(F73:F83)</f>
        <v>2884541</v>
      </c>
      <c r="H72" s="176">
        <f t="shared" si="0"/>
        <v>0.13328134208148357</v>
      </c>
    </row>
    <row r="73" spans="1:13" s="14" customFormat="1" ht="11.25">
      <c r="A73" s="137">
        <v>5110</v>
      </c>
      <c r="B73" s="62"/>
      <c r="C73" s="63" t="s">
        <v>28</v>
      </c>
      <c r="D73" s="64" t="s">
        <v>84</v>
      </c>
      <c r="E73" s="65">
        <v>437200</v>
      </c>
      <c r="F73" s="65">
        <f>471000+1550</f>
        <v>472550</v>
      </c>
      <c r="G73" s="89">
        <v>1550</v>
      </c>
      <c r="H73" s="176">
        <f>F73/E73-1</f>
        <v>0.08085544373284548</v>
      </c>
      <c r="M73" s="89"/>
    </row>
    <row r="74" spans="1:13" s="14" customFormat="1" ht="11.25">
      <c r="A74" s="137">
        <v>5120</v>
      </c>
      <c r="B74" s="62"/>
      <c r="C74" s="63" t="s">
        <v>28</v>
      </c>
      <c r="D74" s="64" t="s">
        <v>85</v>
      </c>
      <c r="E74" s="65">
        <v>409500</v>
      </c>
      <c r="F74" s="65">
        <f>409500*G1+1290</f>
        <v>433312.5</v>
      </c>
      <c r="G74" s="89">
        <v>1290</v>
      </c>
      <c r="H74" s="176">
        <f aca="true" t="shared" si="1" ref="H74:H98">F74/E74-1</f>
        <v>0.058150183150183166</v>
      </c>
      <c r="M74" s="89"/>
    </row>
    <row r="75" spans="1:13" s="14" customFormat="1" ht="11.25">
      <c r="A75" s="137">
        <v>5130</v>
      </c>
      <c r="B75" s="62"/>
      <c r="C75" s="63" t="s">
        <v>28</v>
      </c>
      <c r="D75" s="64" t="s">
        <v>86</v>
      </c>
      <c r="E75" s="65">
        <v>235400</v>
      </c>
      <c r="F75" s="65">
        <f>235400*G1+780</f>
        <v>249126.99999999997</v>
      </c>
      <c r="G75" s="89">
        <v>780</v>
      </c>
      <c r="H75" s="176">
        <f t="shared" si="1"/>
        <v>0.05831350892098541</v>
      </c>
      <c r="M75" s="89"/>
    </row>
    <row r="76" spans="1:13" s="14" customFormat="1" ht="11.25">
      <c r="A76" s="137">
        <v>5140</v>
      </c>
      <c r="B76" s="62"/>
      <c r="C76" s="63" t="s">
        <v>28</v>
      </c>
      <c r="D76" s="64" t="s">
        <v>88</v>
      </c>
      <c r="E76" s="65">
        <v>352000</v>
      </c>
      <c r="F76" s="65">
        <f>376000+1290</f>
        <v>377290</v>
      </c>
      <c r="G76" s="89">
        <v>1290</v>
      </c>
      <c r="H76" s="176">
        <f t="shared" si="1"/>
        <v>0.07184659090909085</v>
      </c>
      <c r="M76" s="89"/>
    </row>
    <row r="77" spans="1:13" s="14" customFormat="1" ht="11.25">
      <c r="A77" s="137">
        <v>5150</v>
      </c>
      <c r="B77" s="62"/>
      <c r="C77" s="63" t="s">
        <v>28</v>
      </c>
      <c r="D77" s="64" t="s">
        <v>87</v>
      </c>
      <c r="E77" s="65">
        <v>237400</v>
      </c>
      <c r="F77" s="65">
        <f>270000+1220</f>
        <v>271220</v>
      </c>
      <c r="G77" s="89">
        <v>1220</v>
      </c>
      <c r="H77" s="176">
        <f t="shared" si="1"/>
        <v>0.14245998315080044</v>
      </c>
      <c r="M77" s="89"/>
    </row>
    <row r="78" spans="1:13" s="14" customFormat="1" ht="11.25">
      <c r="A78" s="137">
        <v>5160</v>
      </c>
      <c r="B78" s="62"/>
      <c r="C78" s="63" t="s">
        <v>28</v>
      </c>
      <c r="D78" s="64" t="s">
        <v>154</v>
      </c>
      <c r="E78" s="65">
        <v>279200</v>
      </c>
      <c r="F78" s="65">
        <f>279200*G1+1050</f>
        <v>295606</v>
      </c>
      <c r="G78" s="89">
        <v>1050</v>
      </c>
      <c r="H78" s="176">
        <f t="shared" si="1"/>
        <v>0.0587607449856733</v>
      </c>
      <c r="M78" s="89"/>
    </row>
    <row r="79" spans="1:13" s="14" customFormat="1" ht="11.25">
      <c r="A79" s="137">
        <v>5170</v>
      </c>
      <c r="B79" s="62"/>
      <c r="C79" s="63" t="s">
        <v>28</v>
      </c>
      <c r="D79" s="64" t="s">
        <v>151</v>
      </c>
      <c r="E79" s="65">
        <v>111000</v>
      </c>
      <c r="F79" s="65">
        <f>111000*G1+520</f>
        <v>117625</v>
      </c>
      <c r="G79" s="89">
        <v>520</v>
      </c>
      <c r="H79" s="176">
        <f t="shared" si="1"/>
        <v>0.059684684684684575</v>
      </c>
      <c r="M79" s="89"/>
    </row>
    <row r="80" spans="1:13" s="14" customFormat="1" ht="11.25">
      <c r="A80" s="137">
        <v>5180</v>
      </c>
      <c r="B80" s="62"/>
      <c r="C80" s="63" t="s">
        <v>28</v>
      </c>
      <c r="D80" s="64" t="s">
        <v>103</v>
      </c>
      <c r="E80" s="65">
        <v>149100</v>
      </c>
      <c r="F80" s="65">
        <f>149100*G1+520</f>
        <v>157820.5</v>
      </c>
      <c r="G80" s="89">
        <v>520</v>
      </c>
      <c r="H80" s="176">
        <f t="shared" si="1"/>
        <v>0.05848759221998656</v>
      </c>
      <c r="M80" s="89"/>
    </row>
    <row r="81" spans="1:13" s="14" customFormat="1" ht="11.25">
      <c r="A81" s="137">
        <v>5190</v>
      </c>
      <c r="B81" s="62"/>
      <c r="C81" s="63" t="s">
        <v>28</v>
      </c>
      <c r="D81" s="64" t="s">
        <v>104</v>
      </c>
      <c r="E81" s="65">
        <v>334500</v>
      </c>
      <c r="F81" s="65">
        <f>361000+1290</f>
        <v>362290</v>
      </c>
      <c r="G81" s="89">
        <v>1290</v>
      </c>
      <c r="H81" s="176">
        <f t="shared" si="1"/>
        <v>0.08307922272047841</v>
      </c>
      <c r="M81" s="89"/>
    </row>
    <row r="82" spans="1:13" s="14" customFormat="1" ht="11.25">
      <c r="A82" s="137">
        <v>5200</v>
      </c>
      <c r="B82" s="62"/>
      <c r="C82" s="63" t="s">
        <v>28</v>
      </c>
      <c r="D82" s="64" t="s">
        <v>222</v>
      </c>
      <c r="E82" s="65">
        <v>0</v>
      </c>
      <c r="F82" s="65">
        <f>140000*G1</f>
        <v>147700</v>
      </c>
      <c r="G82" s="89"/>
      <c r="H82" s="176"/>
      <c r="M82" s="89"/>
    </row>
    <row r="83" spans="1:13" s="14" customFormat="1" ht="11.25">
      <c r="A83" s="137">
        <v>5210</v>
      </c>
      <c r="B83" s="62"/>
      <c r="C83" s="63" t="s">
        <v>28</v>
      </c>
      <c r="D83" s="64" t="s">
        <v>47</v>
      </c>
      <c r="E83" s="153">
        <v>0</v>
      </c>
      <c r="F83" s="65">
        <v>0</v>
      </c>
      <c r="G83" s="89"/>
      <c r="H83" s="176"/>
      <c r="M83" s="89"/>
    </row>
    <row r="84" spans="1:8" ht="12.75">
      <c r="A84" s="135">
        <v>5220</v>
      </c>
      <c r="B84" s="56"/>
      <c r="C84" s="56" t="s">
        <v>62</v>
      </c>
      <c r="D84" s="48" t="s">
        <v>63</v>
      </c>
      <c r="E84" s="149">
        <v>4570600</v>
      </c>
      <c r="F84" s="38">
        <f>SUM(F85:F94)</f>
        <v>4645519</v>
      </c>
      <c r="H84" s="176">
        <f t="shared" si="1"/>
        <v>0.016391502209775588</v>
      </c>
    </row>
    <row r="85" spans="1:13" s="14" customFormat="1" ht="11.25">
      <c r="A85" s="137">
        <v>5230</v>
      </c>
      <c r="B85" s="62"/>
      <c r="C85" s="63" t="s">
        <v>62</v>
      </c>
      <c r="D85" s="64" t="s">
        <v>163</v>
      </c>
      <c r="E85" s="166">
        <v>588200</v>
      </c>
      <c r="F85" s="65">
        <f>588200*G1</f>
        <v>620551</v>
      </c>
      <c r="G85" s="89"/>
      <c r="H85" s="176">
        <f t="shared" si="1"/>
        <v>0.05499999999999994</v>
      </c>
      <c r="M85" s="89"/>
    </row>
    <row r="86" spans="1:13" s="14" customFormat="1" ht="11.25">
      <c r="A86" s="137">
        <v>5240</v>
      </c>
      <c r="B86" s="62"/>
      <c r="C86" s="63" t="s">
        <v>62</v>
      </c>
      <c r="D86" s="64" t="s">
        <v>70</v>
      </c>
      <c r="E86" s="166">
        <v>659500</v>
      </c>
      <c r="F86" s="65">
        <f>659500*G1</f>
        <v>695772.5</v>
      </c>
      <c r="G86" s="89"/>
      <c r="H86" s="176">
        <f t="shared" si="1"/>
        <v>0.05499999999999994</v>
      </c>
      <c r="M86" s="89"/>
    </row>
    <row r="87" spans="1:13" s="14" customFormat="1" ht="11.25">
      <c r="A87" s="137">
        <v>5250</v>
      </c>
      <c r="B87" s="62"/>
      <c r="C87" s="63" t="s">
        <v>62</v>
      </c>
      <c r="D87" s="64" t="s">
        <v>89</v>
      </c>
      <c r="E87" s="166">
        <v>215900</v>
      </c>
      <c r="F87" s="65">
        <v>237000</v>
      </c>
      <c r="G87" s="89"/>
      <c r="H87" s="176">
        <f t="shared" si="1"/>
        <v>0.09773043075497911</v>
      </c>
      <c r="M87" s="89"/>
    </row>
    <row r="88" spans="1:13" s="14" customFormat="1" ht="11.25">
      <c r="A88" s="137">
        <v>5260</v>
      </c>
      <c r="B88" s="62"/>
      <c r="C88" s="63" t="s">
        <v>62</v>
      </c>
      <c r="D88" s="64" t="s">
        <v>90</v>
      </c>
      <c r="E88" s="166">
        <v>1047600</v>
      </c>
      <c r="F88" s="65">
        <v>1153000</v>
      </c>
      <c r="G88" s="89"/>
      <c r="H88" s="176">
        <f t="shared" si="1"/>
        <v>0.100610920198549</v>
      </c>
      <c r="M88" s="89"/>
    </row>
    <row r="89" spans="1:13" s="14" customFormat="1" ht="11.25">
      <c r="A89" s="137">
        <v>5270</v>
      </c>
      <c r="B89" s="62"/>
      <c r="C89" s="63" t="s">
        <v>62</v>
      </c>
      <c r="D89" s="64" t="s">
        <v>91</v>
      </c>
      <c r="E89" s="166">
        <v>283700</v>
      </c>
      <c r="F89" s="65">
        <f>283700*G1</f>
        <v>299303.5</v>
      </c>
      <c r="G89" s="89"/>
      <c r="H89" s="176">
        <f t="shared" si="1"/>
        <v>0.05499999999999994</v>
      </c>
      <c r="M89" s="89"/>
    </row>
    <row r="90" spans="1:13" s="14" customFormat="1" ht="11.25">
      <c r="A90" s="137">
        <v>5280</v>
      </c>
      <c r="B90" s="62"/>
      <c r="C90" s="63" t="s">
        <v>62</v>
      </c>
      <c r="D90" s="64" t="s">
        <v>114</v>
      </c>
      <c r="E90" s="166">
        <v>430900</v>
      </c>
      <c r="F90" s="65">
        <f>430900*G1</f>
        <v>454599.5</v>
      </c>
      <c r="G90" s="89"/>
      <c r="H90" s="176">
        <f t="shared" si="1"/>
        <v>0.05499999999999994</v>
      </c>
      <c r="M90" s="89"/>
    </row>
    <row r="91" spans="1:13" s="14" customFormat="1" ht="11.25">
      <c r="A91" s="137">
        <v>5290</v>
      </c>
      <c r="B91" s="62"/>
      <c r="C91" s="63" t="s">
        <v>62</v>
      </c>
      <c r="D91" s="64" t="s">
        <v>115</v>
      </c>
      <c r="E91" s="166">
        <v>522800</v>
      </c>
      <c r="F91" s="65">
        <f>522800*G1</f>
        <v>551554</v>
      </c>
      <c r="G91" s="89"/>
      <c r="H91" s="176">
        <f t="shared" si="1"/>
        <v>0.05499999999999994</v>
      </c>
      <c r="M91" s="89"/>
    </row>
    <row r="92" spans="1:13" s="14" customFormat="1" ht="11.25">
      <c r="A92" s="137">
        <v>5300</v>
      </c>
      <c r="B92" s="62"/>
      <c r="C92" s="63" t="s">
        <v>62</v>
      </c>
      <c r="D92" s="64" t="s">
        <v>106</v>
      </c>
      <c r="E92" s="166">
        <v>600700</v>
      </c>
      <c r="F92" s="65">
        <f>600700*G1</f>
        <v>633738.5</v>
      </c>
      <c r="G92" s="89"/>
      <c r="H92" s="176">
        <f t="shared" si="1"/>
        <v>0.05499999999999994</v>
      </c>
      <c r="M92" s="89"/>
    </row>
    <row r="93" spans="1:13" s="14" customFormat="1" ht="11.25">
      <c r="A93" s="137"/>
      <c r="B93" s="62"/>
      <c r="C93" s="63"/>
      <c r="D93" s="64" t="s">
        <v>107</v>
      </c>
      <c r="E93" s="166">
        <v>218800</v>
      </c>
      <c r="F93" s="65"/>
      <c r="G93" s="89"/>
      <c r="H93" s="176"/>
      <c r="M93" s="89"/>
    </row>
    <row r="94" spans="1:13" s="14" customFormat="1" ht="11.25">
      <c r="A94" s="137">
        <v>5310</v>
      </c>
      <c r="B94" s="62"/>
      <c r="C94" s="63" t="s">
        <v>62</v>
      </c>
      <c r="D94" s="64" t="s">
        <v>47</v>
      </c>
      <c r="E94" s="166">
        <v>2500</v>
      </c>
      <c r="F94" s="65">
        <v>0</v>
      </c>
      <c r="G94" s="89"/>
      <c r="H94" s="176"/>
      <c r="M94" s="89"/>
    </row>
    <row r="95" spans="1:8" ht="12.75">
      <c r="A95" s="135">
        <v>5320</v>
      </c>
      <c r="B95" s="56"/>
      <c r="C95" s="61" t="s">
        <v>75</v>
      </c>
      <c r="D95" s="48" t="s">
        <v>64</v>
      </c>
      <c r="E95" s="149">
        <v>231400</v>
      </c>
      <c r="F95" s="38">
        <f>231400*G1</f>
        <v>244127</v>
      </c>
      <c r="H95" s="176">
        <f t="shared" si="1"/>
        <v>0.05499999999999994</v>
      </c>
    </row>
    <row r="96" spans="1:8" ht="12.75">
      <c r="A96" s="135">
        <v>5330</v>
      </c>
      <c r="B96" s="56"/>
      <c r="C96" s="60" t="s">
        <v>117</v>
      </c>
      <c r="D96" s="32" t="s">
        <v>98</v>
      </c>
      <c r="E96" s="37">
        <v>303900</v>
      </c>
      <c r="F96" s="38">
        <f>SUM(F97:F98)</f>
        <v>303900</v>
      </c>
      <c r="H96" s="176">
        <f t="shared" si="1"/>
        <v>0</v>
      </c>
    </row>
    <row r="97" spans="1:8" ht="12.75">
      <c r="A97" s="135">
        <v>5340</v>
      </c>
      <c r="B97" s="56"/>
      <c r="C97" s="63" t="s">
        <v>117</v>
      </c>
      <c r="D97" s="64" t="s">
        <v>157</v>
      </c>
      <c r="E97" s="166">
        <v>199100</v>
      </c>
      <c r="F97" s="65">
        <v>199100</v>
      </c>
      <c r="H97" s="176">
        <f t="shared" si="1"/>
        <v>0</v>
      </c>
    </row>
    <row r="98" spans="1:8" ht="12.75">
      <c r="A98" s="135">
        <v>5350</v>
      </c>
      <c r="B98" s="56"/>
      <c r="C98" s="63" t="s">
        <v>117</v>
      </c>
      <c r="D98" s="64" t="s">
        <v>158</v>
      </c>
      <c r="E98" s="166">
        <v>104800</v>
      </c>
      <c r="F98" s="65">
        <v>104800</v>
      </c>
      <c r="H98" s="176">
        <f t="shared" si="1"/>
        <v>0</v>
      </c>
    </row>
    <row r="99" spans="1:8" ht="12.75">
      <c r="A99" s="135">
        <v>5360</v>
      </c>
      <c r="B99" s="56"/>
      <c r="C99" s="61" t="s">
        <v>92</v>
      </c>
      <c r="D99" s="48" t="s">
        <v>93</v>
      </c>
      <c r="E99" s="149">
        <v>8000</v>
      </c>
      <c r="F99" s="38">
        <v>10000</v>
      </c>
      <c r="H99" s="176"/>
    </row>
    <row r="100" spans="1:8" ht="12.75">
      <c r="A100" s="135">
        <v>5370</v>
      </c>
      <c r="B100" s="56"/>
      <c r="C100" s="56" t="s">
        <v>73</v>
      </c>
      <c r="D100" s="48" t="s">
        <v>94</v>
      </c>
      <c r="E100" s="149">
        <v>1200</v>
      </c>
      <c r="F100" s="38">
        <v>650</v>
      </c>
      <c r="H100" s="176"/>
    </row>
    <row r="101" spans="1:8" ht="12.75">
      <c r="A101" s="135">
        <v>5380</v>
      </c>
      <c r="B101" s="56"/>
      <c r="C101" s="56">
        <v>10700</v>
      </c>
      <c r="D101" s="48" t="s">
        <v>259</v>
      </c>
      <c r="E101" s="149">
        <v>15847</v>
      </c>
      <c r="F101" s="38">
        <f>40000*2</f>
        <v>80000</v>
      </c>
      <c r="H101" s="176"/>
    </row>
    <row r="102" spans="2:6" ht="12.75">
      <c r="B102" s="55"/>
      <c r="C102" s="49"/>
      <c r="D102" s="48"/>
      <c r="E102" s="149"/>
      <c r="F102" s="38"/>
    </row>
    <row r="103" spans="1:13" s="3" customFormat="1" ht="12.75">
      <c r="A103" s="130">
        <v>5510</v>
      </c>
      <c r="B103" s="67">
        <v>55</v>
      </c>
      <c r="C103" s="67"/>
      <c r="D103" s="67" t="s">
        <v>30</v>
      </c>
      <c r="E103" s="154">
        <v>6281308.859999999</v>
      </c>
      <c r="F103" s="45">
        <f>F105+F106+F108+F109+F110+F112+F113+F114+F115+F118+F119+F125+F153+F124+F123+F127+F128+F141+F157+F158+F161+F162+F163+F165+F126+F160+F111+F107</f>
        <v>6740369.904</v>
      </c>
      <c r="G103" s="26"/>
      <c r="H103" s="173"/>
      <c r="M103" s="26"/>
    </row>
    <row r="104" spans="2:10" ht="12.75">
      <c r="B104" s="68"/>
      <c r="C104" s="68"/>
      <c r="D104" s="68"/>
      <c r="E104" s="155"/>
      <c r="F104" s="38"/>
      <c r="J104" s="9"/>
    </row>
    <row r="105" spans="1:12" ht="12.75">
      <c r="A105" s="135">
        <v>5520</v>
      </c>
      <c r="B105" s="68"/>
      <c r="C105" s="56" t="s">
        <v>25</v>
      </c>
      <c r="D105" s="48" t="s">
        <v>81</v>
      </c>
      <c r="E105" s="149">
        <v>4040</v>
      </c>
      <c r="F105" s="38">
        <v>4000</v>
      </c>
      <c r="J105" s="9"/>
      <c r="L105" s="110"/>
    </row>
    <row r="106" spans="1:13" ht="12.75">
      <c r="A106" s="135">
        <v>5525</v>
      </c>
      <c r="B106" s="69"/>
      <c r="C106" s="69" t="s">
        <v>26</v>
      </c>
      <c r="D106" s="32" t="s">
        <v>82</v>
      </c>
      <c r="E106" s="37">
        <v>743000</v>
      </c>
      <c r="F106" s="59">
        <f>743000*1.02+11004</f>
        <v>768864</v>
      </c>
      <c r="J106" s="9"/>
      <c r="L106" s="9"/>
      <c r="M106" s="129"/>
    </row>
    <row r="107" spans="1:18" s="21" customFormat="1" ht="12.75">
      <c r="A107" s="138">
        <v>5530</v>
      </c>
      <c r="B107" s="69"/>
      <c r="C107" s="69" t="s">
        <v>26</v>
      </c>
      <c r="D107" s="32" t="s">
        <v>242</v>
      </c>
      <c r="F107" s="59">
        <v>5000</v>
      </c>
      <c r="H107" s="174"/>
      <c r="I107"/>
      <c r="J107" s="91"/>
      <c r="L107" s="91"/>
      <c r="M107" s="129"/>
      <c r="P107" s="186" t="s">
        <v>292</v>
      </c>
      <c r="Q107" s="186" t="s">
        <v>293</v>
      </c>
      <c r="R107" s="186" t="s">
        <v>294</v>
      </c>
    </row>
    <row r="108" spans="1:18" ht="12.75">
      <c r="A108" s="135">
        <v>5535</v>
      </c>
      <c r="B108" s="57"/>
      <c r="C108" s="57" t="s">
        <v>31</v>
      </c>
      <c r="D108" s="58" t="s">
        <v>32</v>
      </c>
      <c r="E108" s="37">
        <v>440000</v>
      </c>
      <c r="F108" s="38">
        <f>150000</f>
        <v>150000</v>
      </c>
      <c r="G108" s="140" t="s">
        <v>280</v>
      </c>
      <c r="H108" s="174"/>
      <c r="J108" s="26"/>
      <c r="L108" s="9"/>
      <c r="M108" s="22"/>
      <c r="P108" s="9">
        <v>110000</v>
      </c>
      <c r="Q108" s="9">
        <v>30000</v>
      </c>
      <c r="R108" s="9">
        <v>10000</v>
      </c>
    </row>
    <row r="109" spans="1:18" ht="12.75">
      <c r="A109" s="135">
        <v>5540</v>
      </c>
      <c r="B109" s="69"/>
      <c r="C109" s="69" t="s">
        <v>33</v>
      </c>
      <c r="D109" s="32" t="s">
        <v>105</v>
      </c>
      <c r="E109" s="156">
        <v>30000</v>
      </c>
      <c r="F109" s="38">
        <v>100000</v>
      </c>
      <c r="G109" s="91"/>
      <c r="H109" s="174"/>
      <c r="P109" s="9"/>
      <c r="Q109" s="9"/>
      <c r="R109" s="9"/>
    </row>
    <row r="110" spans="1:18" ht="12.75">
      <c r="A110" s="135">
        <v>5545</v>
      </c>
      <c r="B110" s="69"/>
      <c r="C110" s="69" t="s">
        <v>34</v>
      </c>
      <c r="D110" s="32" t="s">
        <v>35</v>
      </c>
      <c r="E110" s="37">
        <v>86822</v>
      </c>
      <c r="F110" s="38">
        <f>87000</f>
        <v>87000</v>
      </c>
      <c r="G110" s="91"/>
      <c r="H110" s="174"/>
      <c r="P110" s="22" t="s">
        <v>282</v>
      </c>
      <c r="Q110" s="22" t="s">
        <v>283</v>
      </c>
      <c r="R110" s="22" t="s">
        <v>284</v>
      </c>
    </row>
    <row r="111" spans="1:18" ht="12.75">
      <c r="A111" s="135">
        <v>5550</v>
      </c>
      <c r="B111" s="69"/>
      <c r="C111" s="69" t="s">
        <v>232</v>
      </c>
      <c r="D111" s="32" t="s">
        <v>233</v>
      </c>
      <c r="E111" s="37"/>
      <c r="F111" s="38">
        <v>450000</v>
      </c>
      <c r="G111" s="140" t="s">
        <v>281</v>
      </c>
      <c r="H111" s="174"/>
      <c r="I111" s="8"/>
      <c r="P111" s="9">
        <v>120000</v>
      </c>
      <c r="Q111" s="9">
        <v>180000</v>
      </c>
      <c r="R111" s="9">
        <v>150000</v>
      </c>
    </row>
    <row r="112" spans="1:13" s="21" customFormat="1" ht="12.75">
      <c r="A112" s="138">
        <v>5555</v>
      </c>
      <c r="B112" s="69"/>
      <c r="C112" s="60" t="s">
        <v>58</v>
      </c>
      <c r="D112" s="32" t="s">
        <v>231</v>
      </c>
      <c r="E112" s="37">
        <v>150205</v>
      </c>
      <c r="F112" s="38">
        <f>60000-30000</f>
        <v>30000</v>
      </c>
      <c r="G112" s="140" t="s">
        <v>295</v>
      </c>
      <c r="H112" s="174"/>
      <c r="M112" s="91"/>
    </row>
    <row r="113" spans="1:8" ht="12.75">
      <c r="A113" s="135">
        <v>5560</v>
      </c>
      <c r="B113" s="57"/>
      <c r="C113" s="57" t="s">
        <v>36</v>
      </c>
      <c r="D113" s="58" t="s">
        <v>37</v>
      </c>
      <c r="E113" s="156">
        <v>96402</v>
      </c>
      <c r="F113" s="185">
        <f>100000+30000</f>
        <v>130000</v>
      </c>
      <c r="G113" s="180">
        <v>30000</v>
      </c>
      <c r="H113" s="175" t="s">
        <v>279</v>
      </c>
    </row>
    <row r="114" spans="1:8" ht="12.75">
      <c r="A114" s="135">
        <v>5565</v>
      </c>
      <c r="B114" s="69"/>
      <c r="C114" s="60" t="s">
        <v>38</v>
      </c>
      <c r="D114" s="32" t="s">
        <v>230</v>
      </c>
      <c r="E114" s="37">
        <v>209303</v>
      </c>
      <c r="F114" s="38">
        <f>205000+17400</f>
        <v>222400</v>
      </c>
      <c r="G114" s="91"/>
      <c r="H114" s="174"/>
    </row>
    <row r="115" spans="1:6" ht="12.75">
      <c r="A115" s="135">
        <v>5570</v>
      </c>
      <c r="B115" s="69"/>
      <c r="C115" s="60" t="s">
        <v>23</v>
      </c>
      <c r="D115" s="32" t="s">
        <v>118</v>
      </c>
      <c r="E115" s="37">
        <v>195200</v>
      </c>
      <c r="F115" s="38">
        <f>SUM(F116:F117)</f>
        <v>231000</v>
      </c>
    </row>
    <row r="116" spans="1:6" ht="12.75">
      <c r="A116" s="135">
        <v>5575</v>
      </c>
      <c r="B116" s="69"/>
      <c r="C116" s="63" t="s">
        <v>23</v>
      </c>
      <c r="D116" s="64" t="s">
        <v>159</v>
      </c>
      <c r="E116" s="166">
        <v>78000</v>
      </c>
      <c r="F116" s="65">
        <f>78000+30000+3000</f>
        <v>111000</v>
      </c>
    </row>
    <row r="117" spans="1:6" ht="12.75">
      <c r="A117" s="135">
        <v>5580</v>
      </c>
      <c r="B117" s="69"/>
      <c r="C117" s="63" t="s">
        <v>23</v>
      </c>
      <c r="D117" s="64" t="s">
        <v>160</v>
      </c>
      <c r="E117" s="166">
        <v>117200</v>
      </c>
      <c r="F117" s="65">
        <v>120000</v>
      </c>
    </row>
    <row r="118" spans="1:21" ht="12.75">
      <c r="A118" s="135">
        <v>5585</v>
      </c>
      <c r="B118" s="69"/>
      <c r="C118" s="60" t="s">
        <v>152</v>
      </c>
      <c r="D118" s="32" t="s">
        <v>153</v>
      </c>
      <c r="E118" s="37">
        <v>20000</v>
      </c>
      <c r="F118" s="185">
        <v>156000</v>
      </c>
      <c r="G118" s="180">
        <v>15000</v>
      </c>
      <c r="H118" s="179" t="s">
        <v>290</v>
      </c>
      <c r="R118" s="8" t="s">
        <v>291</v>
      </c>
      <c r="S118" s="8" t="s">
        <v>285</v>
      </c>
      <c r="T118" s="8" t="s">
        <v>286</v>
      </c>
      <c r="U118" s="8" t="s">
        <v>296</v>
      </c>
    </row>
    <row r="119" spans="1:21" ht="12.75">
      <c r="A119" s="135">
        <v>5590</v>
      </c>
      <c r="B119" s="69"/>
      <c r="C119" s="60" t="s">
        <v>95</v>
      </c>
      <c r="D119" s="32" t="s">
        <v>96</v>
      </c>
      <c r="E119" s="37">
        <v>93442</v>
      </c>
      <c r="F119" s="38">
        <f>SUM(F120:F122)</f>
        <v>234353</v>
      </c>
      <c r="R119" s="22">
        <f>7500+70000+60000</f>
        <v>137500</v>
      </c>
      <c r="S119" s="9">
        <v>5000</v>
      </c>
      <c r="T119" s="9">
        <v>13500</v>
      </c>
      <c r="U119">
        <v>15000</v>
      </c>
    </row>
    <row r="120" spans="1:6" ht="12.75">
      <c r="A120" s="135">
        <v>5595</v>
      </c>
      <c r="B120" s="69"/>
      <c r="C120" s="63" t="s">
        <v>95</v>
      </c>
      <c r="D120" s="64" t="s">
        <v>165</v>
      </c>
      <c r="E120" s="166">
        <v>18500</v>
      </c>
      <c r="F120" s="65">
        <v>41000</v>
      </c>
    </row>
    <row r="121" spans="1:6" ht="12.75">
      <c r="A121" s="135">
        <v>5600</v>
      </c>
      <c r="B121" s="69"/>
      <c r="C121" s="63" t="s">
        <v>95</v>
      </c>
      <c r="D121" s="64" t="s">
        <v>166</v>
      </c>
      <c r="E121" s="166">
        <v>20000</v>
      </c>
      <c r="F121" s="65">
        <v>0</v>
      </c>
    </row>
    <row r="122" spans="1:7" ht="12.75">
      <c r="A122" s="135">
        <v>5605</v>
      </c>
      <c r="B122" s="69"/>
      <c r="C122" s="63" t="s">
        <v>95</v>
      </c>
      <c r="D122" s="64" t="s">
        <v>240</v>
      </c>
      <c r="E122" s="166">
        <v>54942</v>
      </c>
      <c r="F122" s="65">
        <v>193353</v>
      </c>
      <c r="G122" s="22" t="s">
        <v>241</v>
      </c>
    </row>
    <row r="123" spans="1:6" ht="12.75">
      <c r="A123" s="135">
        <v>5610</v>
      </c>
      <c r="B123" s="69"/>
      <c r="C123" s="60" t="s">
        <v>97</v>
      </c>
      <c r="D123" s="32" t="s">
        <v>39</v>
      </c>
      <c r="E123" s="37">
        <v>126000</v>
      </c>
      <c r="F123" s="168">
        <v>120000</v>
      </c>
    </row>
    <row r="124" spans="1:6" ht="12.75">
      <c r="A124" s="135">
        <v>5615</v>
      </c>
      <c r="B124" s="69"/>
      <c r="C124" s="69" t="s">
        <v>27</v>
      </c>
      <c r="D124" s="32" t="s">
        <v>83</v>
      </c>
      <c r="E124" s="37">
        <v>85689</v>
      </c>
      <c r="F124" s="38">
        <f>85689</f>
        <v>85689</v>
      </c>
    </row>
    <row r="125" spans="1:6" ht="12.75">
      <c r="A125" s="135">
        <v>5620</v>
      </c>
      <c r="B125" s="69"/>
      <c r="C125" s="60" t="s">
        <v>110</v>
      </c>
      <c r="D125" s="32" t="s">
        <v>236</v>
      </c>
      <c r="E125" s="37">
        <v>122950</v>
      </c>
      <c r="F125" s="38">
        <v>66000</v>
      </c>
    </row>
    <row r="126" spans="1:6" ht="12.75">
      <c r="A126" s="135">
        <v>5625</v>
      </c>
      <c r="B126" s="69"/>
      <c r="C126" s="60" t="s">
        <v>112</v>
      </c>
      <c r="D126" s="32" t="s">
        <v>113</v>
      </c>
      <c r="E126" s="37">
        <v>0</v>
      </c>
      <c r="F126" s="59">
        <v>105000</v>
      </c>
    </row>
    <row r="127" spans="1:8" ht="12.75">
      <c r="A127" s="135">
        <v>5630</v>
      </c>
      <c r="B127" s="69"/>
      <c r="C127" s="69" t="s">
        <v>40</v>
      </c>
      <c r="D127" s="32" t="s">
        <v>41</v>
      </c>
      <c r="E127" s="37">
        <v>42000</v>
      </c>
      <c r="F127" s="38">
        <v>42000</v>
      </c>
      <c r="H127" s="176"/>
    </row>
    <row r="128" spans="1:13" s="14" customFormat="1" ht="12.75">
      <c r="A128" s="137">
        <v>5635</v>
      </c>
      <c r="B128" s="69"/>
      <c r="C128" s="69" t="s">
        <v>28</v>
      </c>
      <c r="D128" s="32" t="s">
        <v>42</v>
      </c>
      <c r="E128" s="37">
        <v>901417.36</v>
      </c>
      <c r="F128" s="38">
        <f>SUM(F129:F140)</f>
        <v>1028731.904</v>
      </c>
      <c r="G128" s="89"/>
      <c r="H128" s="176"/>
      <c r="M128" s="89"/>
    </row>
    <row r="129" spans="1:13" s="14" customFormat="1" ht="11.25">
      <c r="A129" s="137">
        <v>5640</v>
      </c>
      <c r="B129" s="62"/>
      <c r="C129" s="63" t="s">
        <v>28</v>
      </c>
      <c r="D129" s="64" t="s">
        <v>84</v>
      </c>
      <c r="E129" s="166">
        <v>83000</v>
      </c>
      <c r="F129" s="66">
        <f>'Lasteaedade ja koolide kulud'!B27</f>
        <v>91000</v>
      </c>
      <c r="G129" s="89"/>
      <c r="H129" s="176"/>
      <c r="M129" s="89"/>
    </row>
    <row r="130" spans="1:13" s="14" customFormat="1" ht="11.25">
      <c r="A130" s="137">
        <v>5645</v>
      </c>
      <c r="B130" s="62"/>
      <c r="C130" s="63" t="s">
        <v>28</v>
      </c>
      <c r="D130" s="64" t="s">
        <v>85</v>
      </c>
      <c r="E130" s="166">
        <v>78000</v>
      </c>
      <c r="F130" s="66">
        <f>'Lasteaedade ja koolide kulud'!B28</f>
        <v>83000</v>
      </c>
      <c r="G130" s="89"/>
      <c r="H130" s="176"/>
      <c r="M130" s="89"/>
    </row>
    <row r="131" spans="1:13" s="14" customFormat="1" ht="11.25">
      <c r="A131" s="137">
        <v>5650</v>
      </c>
      <c r="B131" s="62"/>
      <c r="C131" s="63" t="s">
        <v>28</v>
      </c>
      <c r="D131" s="64" t="s">
        <v>86</v>
      </c>
      <c r="E131" s="166">
        <v>87000</v>
      </c>
      <c r="F131" s="66">
        <f>'Lasteaedade ja koolide kulud'!B29</f>
        <v>86870.784</v>
      </c>
      <c r="G131" s="89"/>
      <c r="H131" s="176"/>
      <c r="M131" s="89"/>
    </row>
    <row r="132" spans="1:13" s="14" customFormat="1" ht="11.25">
      <c r="A132" s="137">
        <v>5655</v>
      </c>
      <c r="B132" s="62"/>
      <c r="C132" s="63" t="s">
        <v>28</v>
      </c>
      <c r="D132" s="64" t="s">
        <v>88</v>
      </c>
      <c r="E132" s="166">
        <v>142650.24</v>
      </c>
      <c r="F132" s="65">
        <f>124*1000+'Lasteaedade ja koolide kulud'!C30-38000</f>
        <v>141650.24</v>
      </c>
      <c r="G132" s="89"/>
      <c r="H132" s="176"/>
      <c r="M132" s="89"/>
    </row>
    <row r="133" spans="1:13" s="14" customFormat="1" ht="11.25">
      <c r="A133" s="137">
        <v>5660</v>
      </c>
      <c r="B133" s="62"/>
      <c r="C133" s="63" t="s">
        <v>28</v>
      </c>
      <c r="D133" s="64" t="s">
        <v>87</v>
      </c>
      <c r="E133" s="166">
        <v>87400</v>
      </c>
      <c r="F133" s="65">
        <f>'Õpilaste ja lasteaialaste arv'!C22*1000+17400</f>
        <v>87400</v>
      </c>
      <c r="G133" s="89"/>
      <c r="H133" s="176"/>
      <c r="M133" s="89"/>
    </row>
    <row r="134" spans="1:13" s="14" customFormat="1" ht="11.25">
      <c r="A134" s="137">
        <v>5665</v>
      </c>
      <c r="B134" s="62"/>
      <c r="C134" s="63" t="s">
        <v>28</v>
      </c>
      <c r="D134" s="64" t="s">
        <v>154</v>
      </c>
      <c r="E134" s="166">
        <v>61000</v>
      </c>
      <c r="F134" s="65">
        <f>'Lasteaedade ja koolide kulud'!B32</f>
        <v>65000</v>
      </c>
      <c r="G134" s="89"/>
      <c r="H134" s="176"/>
      <c r="M134" s="89"/>
    </row>
    <row r="135" spans="1:13" s="14" customFormat="1" ht="11.25">
      <c r="A135" s="137">
        <v>5670</v>
      </c>
      <c r="B135" s="62"/>
      <c r="C135" s="63" t="s">
        <v>28</v>
      </c>
      <c r="D135" s="64" t="s">
        <v>151</v>
      </c>
      <c r="E135" s="166">
        <v>122810</v>
      </c>
      <c r="F135" s="65">
        <f>'Lasteaedade ja koolide kulud'!C39+35000</f>
        <v>127810.88</v>
      </c>
      <c r="G135" s="89"/>
      <c r="H135" s="176"/>
      <c r="M135" s="89"/>
    </row>
    <row r="136" spans="1:13" s="14" customFormat="1" ht="11.25">
      <c r="A136" s="137">
        <v>5675</v>
      </c>
      <c r="B136" s="62"/>
      <c r="C136" s="63" t="s">
        <v>28</v>
      </c>
      <c r="D136" s="64" t="s">
        <v>103</v>
      </c>
      <c r="E136" s="166">
        <v>46272</v>
      </c>
      <c r="F136" s="169">
        <f>'Lasteaedade ja koolide kulud'!B33</f>
        <v>36000</v>
      </c>
      <c r="G136" s="170"/>
      <c r="H136" s="176"/>
      <c r="M136" s="89"/>
    </row>
    <row r="137" spans="1:13" s="14" customFormat="1" ht="11.25">
      <c r="A137" s="137"/>
      <c r="B137" s="62"/>
      <c r="C137" s="63" t="s">
        <v>28</v>
      </c>
      <c r="D137" s="64" t="s">
        <v>104</v>
      </c>
      <c r="E137" s="166">
        <v>81500</v>
      </c>
      <c r="F137" s="169">
        <f>'Lasteaedade ja koolide kulud'!D34</f>
        <v>75000</v>
      </c>
      <c r="G137" s="170"/>
      <c r="H137" s="176"/>
      <c r="M137" s="89"/>
    </row>
    <row r="138" spans="1:13" s="14" customFormat="1" ht="11.25">
      <c r="A138" s="137">
        <v>5680</v>
      </c>
      <c r="B138" s="62"/>
      <c r="C138" s="63" t="s">
        <v>28</v>
      </c>
      <c r="D138" s="64" t="s">
        <v>222</v>
      </c>
      <c r="E138" s="166"/>
      <c r="F138" s="65">
        <f>35000+100000</f>
        <v>135000</v>
      </c>
      <c r="G138" s="170"/>
      <c r="H138" s="176"/>
      <c r="M138" s="89"/>
    </row>
    <row r="139" spans="1:13" s="14" customFormat="1" ht="11.25">
      <c r="A139" s="137">
        <v>5685</v>
      </c>
      <c r="B139" s="62"/>
      <c r="C139" s="63" t="s">
        <v>28</v>
      </c>
      <c r="D139" s="14" t="s">
        <v>270</v>
      </c>
      <c r="E139" s="166">
        <v>10801.2</v>
      </c>
      <c r="G139" s="89"/>
      <c r="H139" s="176"/>
      <c r="M139" s="89"/>
    </row>
    <row r="140" spans="1:8" ht="12.75">
      <c r="A140" s="135">
        <v>5690</v>
      </c>
      <c r="B140" s="62"/>
      <c r="C140" s="63" t="s">
        <v>28</v>
      </c>
      <c r="D140" s="64" t="s">
        <v>43</v>
      </c>
      <c r="E140" s="166">
        <v>100983.92</v>
      </c>
      <c r="F140" s="65">
        <v>100000</v>
      </c>
      <c r="H140" s="177"/>
    </row>
    <row r="141" spans="1:13" s="14" customFormat="1" ht="12.75">
      <c r="A141" s="137">
        <v>5695</v>
      </c>
      <c r="B141" s="69"/>
      <c r="C141" s="60" t="s">
        <v>62</v>
      </c>
      <c r="D141" s="32" t="s">
        <v>63</v>
      </c>
      <c r="E141" s="167">
        <v>1625149.5</v>
      </c>
      <c r="F141" s="38">
        <f>SUM(F142:F152)</f>
        <v>1625600</v>
      </c>
      <c r="G141" s="89"/>
      <c r="H141" s="176"/>
      <c r="M141" s="89"/>
    </row>
    <row r="142" spans="1:13" s="14" customFormat="1" ht="11.25">
      <c r="A142" s="137">
        <v>5700</v>
      </c>
      <c r="B142" s="62"/>
      <c r="C142" s="63" t="s">
        <v>62</v>
      </c>
      <c r="D142" s="64" t="s">
        <v>162</v>
      </c>
      <c r="E142" s="166">
        <v>185000</v>
      </c>
      <c r="F142" s="65">
        <f>'Lasteaedade ja koolide kulud'!B35</f>
        <v>193000</v>
      </c>
      <c r="G142" s="89"/>
      <c r="H142" s="176"/>
      <c r="M142" s="89"/>
    </row>
    <row r="143" spans="1:13" s="14" customFormat="1" ht="11.25">
      <c r="A143" s="137">
        <v>5705</v>
      </c>
      <c r="B143" s="62"/>
      <c r="C143" s="63" t="s">
        <v>62</v>
      </c>
      <c r="D143" s="64" t="s">
        <v>161</v>
      </c>
      <c r="E143" s="166">
        <v>191000</v>
      </c>
      <c r="F143" s="65">
        <f>'Lasteaedade ja koolide kulud'!B36</f>
        <v>221000</v>
      </c>
      <c r="G143" s="89"/>
      <c r="H143" s="176"/>
      <c r="M143" s="89"/>
    </row>
    <row r="144" spans="1:13" s="14" customFormat="1" ht="11.25">
      <c r="A144" s="137">
        <v>5710</v>
      </c>
      <c r="B144" s="62"/>
      <c r="C144" s="63" t="s">
        <v>62</v>
      </c>
      <c r="D144" s="64" t="s">
        <v>89</v>
      </c>
      <c r="E144" s="166">
        <v>72670</v>
      </c>
      <c r="F144" s="65">
        <f>'Lasteaedade ja koolide kulud'!B37</f>
        <v>75200</v>
      </c>
      <c r="G144" s="89"/>
      <c r="H144" s="176"/>
      <c r="M144" s="89"/>
    </row>
    <row r="145" spans="1:13" s="14" customFormat="1" ht="11.25">
      <c r="A145" s="137">
        <v>5715</v>
      </c>
      <c r="B145" s="62"/>
      <c r="C145" s="63" t="s">
        <v>62</v>
      </c>
      <c r="D145" s="64" t="s">
        <v>90</v>
      </c>
      <c r="E145" s="166">
        <v>318000</v>
      </c>
      <c r="F145" s="65">
        <f>280*1000+38000</f>
        <v>318000</v>
      </c>
      <c r="G145" s="89"/>
      <c r="H145" s="176"/>
      <c r="M145" s="89"/>
    </row>
    <row r="146" spans="1:13" s="14" customFormat="1" ht="11.25">
      <c r="A146" s="137">
        <v>5720</v>
      </c>
      <c r="B146" s="62"/>
      <c r="C146" s="63" t="s">
        <v>62</v>
      </c>
      <c r="D146" s="64" t="s">
        <v>91</v>
      </c>
      <c r="E146" s="166">
        <v>36600</v>
      </c>
      <c r="F146" s="65">
        <f>('Õpilaste ja lasteaialaste arv'!C12*1000)-17400</f>
        <v>36600</v>
      </c>
      <c r="G146" s="89"/>
      <c r="H146" s="176"/>
      <c r="M146" s="89"/>
    </row>
    <row r="147" spans="1:13" s="14" customFormat="1" ht="11.25">
      <c r="A147" s="137">
        <v>5725</v>
      </c>
      <c r="B147" s="62"/>
      <c r="C147" s="63" t="s">
        <v>62</v>
      </c>
      <c r="D147" s="64" t="s">
        <v>114</v>
      </c>
      <c r="E147" s="166">
        <v>104250</v>
      </c>
      <c r="F147" s="65">
        <f>'Lasteaedade ja koolide kulud'!B38</f>
        <v>116800</v>
      </c>
      <c r="G147" s="89"/>
      <c r="H147" s="176"/>
      <c r="M147" s="89"/>
    </row>
    <row r="148" spans="1:13" s="14" customFormat="1" ht="11.25">
      <c r="A148" s="137">
        <v>5730</v>
      </c>
      <c r="B148" s="62"/>
      <c r="C148" s="63" t="s">
        <v>27</v>
      </c>
      <c r="D148" s="64" t="s">
        <v>115</v>
      </c>
      <c r="E148" s="166">
        <v>104000</v>
      </c>
      <c r="F148" s="65">
        <f>'Lasteaedade ja koolide kulud'!E39*1000-35000</f>
        <v>100000</v>
      </c>
      <c r="G148" s="89"/>
      <c r="H148" s="176"/>
      <c r="M148" s="89"/>
    </row>
    <row r="149" spans="1:13" s="14" customFormat="1" ht="11.25">
      <c r="A149" s="137">
        <v>5735</v>
      </c>
      <c r="B149" s="62"/>
      <c r="C149" s="63" t="s">
        <v>62</v>
      </c>
      <c r="D149" s="64" t="s">
        <v>106</v>
      </c>
      <c r="E149" s="166">
        <v>122552</v>
      </c>
      <c r="F149" s="65">
        <f>'Lasteaedade ja koolide kulud'!B40</f>
        <v>120000</v>
      </c>
      <c r="G149" s="89"/>
      <c r="H149" s="178"/>
      <c r="I149" s="89"/>
      <c r="M149" s="89"/>
    </row>
    <row r="150" spans="1:13" s="14" customFormat="1" ht="11.25">
      <c r="A150" s="137"/>
      <c r="B150" s="62"/>
      <c r="C150" s="63"/>
      <c r="D150" s="64" t="s">
        <v>107</v>
      </c>
      <c r="E150" s="166">
        <v>43172</v>
      </c>
      <c r="F150" s="65"/>
      <c r="G150" s="89"/>
      <c r="H150" s="176"/>
      <c r="I150" s="89"/>
      <c r="M150" s="89"/>
    </row>
    <row r="151" spans="1:13" s="14" customFormat="1" ht="11.25">
      <c r="A151" s="137"/>
      <c r="B151" s="62"/>
      <c r="C151" s="63"/>
      <c r="D151" s="64" t="s">
        <v>47</v>
      </c>
      <c r="E151" s="166">
        <v>4129</v>
      </c>
      <c r="F151" s="65"/>
      <c r="G151" s="89"/>
      <c r="H151" s="176"/>
      <c r="I151" s="89"/>
      <c r="M151" s="89"/>
    </row>
    <row r="152" spans="1:6" ht="12.75">
      <c r="A152" s="135">
        <v>5740</v>
      </c>
      <c r="B152" s="62"/>
      <c r="C152" s="63" t="s">
        <v>62</v>
      </c>
      <c r="D152" s="64" t="s">
        <v>43</v>
      </c>
      <c r="E152" s="166">
        <v>443776.5</v>
      </c>
      <c r="F152" s="65">
        <v>445000</v>
      </c>
    </row>
    <row r="153" spans="1:6" ht="12.75">
      <c r="A153" s="135">
        <v>5745</v>
      </c>
      <c r="B153" s="69"/>
      <c r="C153" s="60" t="s">
        <v>117</v>
      </c>
      <c r="D153" s="32" t="s">
        <v>98</v>
      </c>
      <c r="E153" s="167">
        <v>91000</v>
      </c>
      <c r="F153" s="38">
        <f>SUM(F154:F156)</f>
        <v>95000</v>
      </c>
    </row>
    <row r="154" spans="1:6" ht="12.75">
      <c r="A154" s="135">
        <v>5750</v>
      </c>
      <c r="B154" s="69"/>
      <c r="C154" s="63" t="s">
        <v>117</v>
      </c>
      <c r="D154" s="64" t="s">
        <v>157</v>
      </c>
      <c r="E154" s="166">
        <v>11000</v>
      </c>
      <c r="F154" s="65">
        <f>11000</f>
        <v>11000</v>
      </c>
    </row>
    <row r="155" spans="1:6" ht="12.75">
      <c r="A155" s="135">
        <v>5755</v>
      </c>
      <c r="B155" s="69"/>
      <c r="C155" s="63" t="s">
        <v>117</v>
      </c>
      <c r="D155" s="64" t="s">
        <v>158</v>
      </c>
      <c r="E155" s="166">
        <v>11000</v>
      </c>
      <c r="F155" s="65">
        <v>11000</v>
      </c>
    </row>
    <row r="156" spans="1:6" ht="12.75">
      <c r="A156" s="135">
        <v>5760</v>
      </c>
      <c r="B156" s="69"/>
      <c r="C156" s="63" t="s">
        <v>117</v>
      </c>
      <c r="D156" s="64" t="s">
        <v>43</v>
      </c>
      <c r="E156" s="65">
        <v>69000</v>
      </c>
      <c r="F156" s="65">
        <v>73000</v>
      </c>
    </row>
    <row r="157" spans="1:7" ht="12.75">
      <c r="A157" s="135">
        <v>5765</v>
      </c>
      <c r="B157" s="69"/>
      <c r="C157" s="60" t="s">
        <v>79</v>
      </c>
      <c r="D157" s="32" t="s">
        <v>108</v>
      </c>
      <c r="E157" s="37">
        <v>189579</v>
      </c>
      <c r="F157" s="59"/>
      <c r="G157" s="140"/>
    </row>
    <row r="158" spans="1:6" ht="12.75">
      <c r="A158" s="135">
        <v>5770</v>
      </c>
      <c r="B158" s="69"/>
      <c r="C158" s="60" t="s">
        <v>99</v>
      </c>
      <c r="D158" s="32" t="s">
        <v>100</v>
      </c>
      <c r="E158" s="37">
        <v>340000</v>
      </c>
      <c r="F158" s="38">
        <v>334000</v>
      </c>
    </row>
    <row r="159" spans="1:7" ht="12.75">
      <c r="A159" s="135">
        <v>5771</v>
      </c>
      <c r="B159" s="69"/>
      <c r="C159" s="60" t="s">
        <v>92</v>
      </c>
      <c r="D159" s="32" t="s">
        <v>250</v>
      </c>
      <c r="E159" s="37">
        <v>2000</v>
      </c>
      <c r="F159" s="168">
        <v>4000</v>
      </c>
      <c r="G159" s="9" t="s">
        <v>253</v>
      </c>
    </row>
    <row r="160" spans="1:7" ht="12.75">
      <c r="A160" s="135">
        <v>5775</v>
      </c>
      <c r="B160" s="69"/>
      <c r="C160" s="60" t="s">
        <v>73</v>
      </c>
      <c r="D160" s="32" t="s">
        <v>251</v>
      </c>
      <c r="E160" s="37">
        <v>19400</v>
      </c>
      <c r="F160" s="168">
        <f>19400+27622</f>
        <v>47022</v>
      </c>
      <c r="G160" s="22" t="s">
        <v>254</v>
      </c>
    </row>
    <row r="161" spans="1:6" ht="12.75">
      <c r="A161" s="135">
        <v>5780</v>
      </c>
      <c r="B161" s="69"/>
      <c r="C161" s="60" t="s">
        <v>76</v>
      </c>
      <c r="D161" s="32" t="s">
        <v>120</v>
      </c>
      <c r="E161" s="37">
        <v>309000</v>
      </c>
      <c r="F161" s="38">
        <v>291000</v>
      </c>
    </row>
    <row r="162" spans="1:6" ht="12.75">
      <c r="A162" s="135">
        <v>5785</v>
      </c>
      <c r="B162" s="69"/>
      <c r="C162" s="60" t="s">
        <v>15</v>
      </c>
      <c r="D162" s="32" t="s">
        <v>119</v>
      </c>
      <c r="E162" s="37">
        <v>301710</v>
      </c>
      <c r="F162" s="38">
        <v>231710</v>
      </c>
    </row>
    <row r="163" spans="1:6" ht="12.75">
      <c r="A163" s="135">
        <v>5790</v>
      </c>
      <c r="B163" s="69"/>
      <c r="C163" s="60">
        <v>10700</v>
      </c>
      <c r="D163" s="32" t="s">
        <v>259</v>
      </c>
      <c r="E163" s="37">
        <v>10000</v>
      </c>
      <c r="F163" s="38">
        <f>2*35000</f>
        <v>70000</v>
      </c>
    </row>
    <row r="164" spans="2:6" ht="12.75">
      <c r="B164" s="69"/>
      <c r="C164" s="60"/>
      <c r="D164" s="32" t="s">
        <v>255</v>
      </c>
      <c r="E164" s="37">
        <v>5000</v>
      </c>
      <c r="F164" s="38"/>
    </row>
    <row r="165" spans="1:6" ht="12.75">
      <c r="A165" s="135">
        <v>5795</v>
      </c>
      <c r="B165" s="69"/>
      <c r="C165" s="69" t="s">
        <v>20</v>
      </c>
      <c r="D165" s="32" t="s">
        <v>44</v>
      </c>
      <c r="E165" s="37">
        <v>42000</v>
      </c>
      <c r="F165" s="38">
        <v>30000</v>
      </c>
    </row>
    <row r="166" spans="1:13" s="3" customFormat="1" ht="12.75">
      <c r="A166" s="130"/>
      <c r="B166" s="69"/>
      <c r="C166" s="69"/>
      <c r="D166" s="32"/>
      <c r="F166" s="38"/>
      <c r="G166" s="26"/>
      <c r="H166" s="173"/>
      <c r="M166" s="26"/>
    </row>
    <row r="167" spans="1:6" ht="12.75">
      <c r="A167" s="135">
        <v>6010</v>
      </c>
      <c r="B167" s="67">
        <v>6</v>
      </c>
      <c r="C167" s="67"/>
      <c r="D167" s="67" t="s">
        <v>45</v>
      </c>
      <c r="E167" s="154">
        <v>217963</v>
      </c>
      <c r="F167" s="45">
        <f>SUM(F169:F170)</f>
        <v>110000</v>
      </c>
    </row>
    <row r="168" spans="2:6" ht="12.75">
      <c r="B168" s="68"/>
      <c r="C168" s="68"/>
      <c r="D168" s="68"/>
      <c r="E168" s="155"/>
      <c r="F168" s="38"/>
    </row>
    <row r="169" spans="1:6" ht="12.75">
      <c r="A169" s="135">
        <v>6020</v>
      </c>
      <c r="B169" s="70">
        <v>60</v>
      </c>
      <c r="C169" s="70" t="s">
        <v>46</v>
      </c>
      <c r="D169" s="70" t="s">
        <v>56</v>
      </c>
      <c r="E169" s="157">
        <v>10000</v>
      </c>
      <c r="F169" s="38">
        <v>10000</v>
      </c>
    </row>
    <row r="170" spans="1:6" ht="12.75">
      <c r="A170" s="135">
        <v>6030</v>
      </c>
      <c r="B170" s="71">
        <v>60</v>
      </c>
      <c r="C170" s="72" t="s">
        <v>26</v>
      </c>
      <c r="D170" s="73" t="s">
        <v>47</v>
      </c>
      <c r="E170" s="158">
        <v>10793</v>
      </c>
      <c r="F170" s="38">
        <v>100000</v>
      </c>
    </row>
    <row r="171" spans="2:6" ht="12.75">
      <c r="B171" s="10"/>
      <c r="C171" s="11"/>
      <c r="D171" s="13"/>
      <c r="E171" s="159"/>
      <c r="F171" s="9"/>
    </row>
    <row r="172" spans="1:13" s="16" customFormat="1" ht="15.75">
      <c r="A172" s="136"/>
      <c r="B172" s="10"/>
      <c r="C172" s="11"/>
      <c r="D172" s="12"/>
      <c r="E172" s="159"/>
      <c r="F172" s="9"/>
      <c r="G172" s="90"/>
      <c r="H172" s="172"/>
      <c r="M172" s="90"/>
    </row>
    <row r="173" spans="1:6" ht="15.75">
      <c r="A173" s="135">
        <v>6040</v>
      </c>
      <c r="B173" s="16"/>
      <c r="C173" s="16"/>
      <c r="D173" s="15" t="s">
        <v>48</v>
      </c>
      <c r="E173" s="19">
        <v>1074382.6999999955</v>
      </c>
      <c r="F173" s="19">
        <f>F6-F34</f>
        <v>539073.0960000008</v>
      </c>
    </row>
    <row r="176" ht="15">
      <c r="B176" s="4" t="s">
        <v>50</v>
      </c>
    </row>
    <row r="177" ht="25.5" customHeight="1">
      <c r="B177" s="4"/>
    </row>
    <row r="178" spans="1:13" s="16" customFormat="1" ht="15.75">
      <c r="A178" s="136"/>
      <c r="B178" s="2" t="str">
        <f>B$5</f>
        <v>Artikkel</v>
      </c>
      <c r="C178" s="2" t="str">
        <f>C$5</f>
        <v>TA</v>
      </c>
      <c r="D178" s="2" t="str">
        <f>D$5</f>
        <v>Kirjeldus</v>
      </c>
      <c r="E178" s="145" t="s">
        <v>249</v>
      </c>
      <c r="F178" s="84" t="str">
        <f>F$5</f>
        <v>2020 eelarve</v>
      </c>
      <c r="G178" s="90"/>
      <c r="H178" s="172"/>
      <c r="M178" s="90"/>
    </row>
    <row r="179" spans="1:13" s="3" customFormat="1" ht="15.75">
      <c r="A179" s="130">
        <v>7010</v>
      </c>
      <c r="B179" s="74"/>
      <c r="C179" s="75"/>
      <c r="D179" s="75" t="s">
        <v>55</v>
      </c>
      <c r="E179" s="161">
        <v>-2007102.7199999997</v>
      </c>
      <c r="F179" s="76">
        <f>F180-F199-F228</f>
        <v>-7188889.999999998</v>
      </c>
      <c r="G179" s="26"/>
      <c r="H179" s="173"/>
      <c r="M179" s="26"/>
    </row>
    <row r="180" spans="1:6" ht="12.75">
      <c r="A180" s="135">
        <v>7020</v>
      </c>
      <c r="B180" s="67">
        <v>3</v>
      </c>
      <c r="C180" s="67"/>
      <c r="D180" s="67" t="s">
        <v>52</v>
      </c>
      <c r="E180" s="154">
        <v>3010682.2800000003</v>
      </c>
      <c r="F180" s="45">
        <f>SUM(F182:F194)</f>
        <v>10453057.666666666</v>
      </c>
    </row>
    <row r="181" spans="1:13" s="3" customFormat="1" ht="12.75">
      <c r="A181" s="130"/>
      <c r="B181" s="29"/>
      <c r="C181" s="30"/>
      <c r="D181" s="29"/>
      <c r="E181" s="141"/>
      <c r="F181" s="38"/>
      <c r="G181" s="26"/>
      <c r="H181" s="173"/>
      <c r="M181" s="26"/>
    </row>
    <row r="182" spans="1:6" ht="12.75">
      <c r="A182" s="135">
        <v>7030</v>
      </c>
      <c r="B182" s="77">
        <v>3502</v>
      </c>
      <c r="C182" s="33"/>
      <c r="D182" s="33" t="s">
        <v>51</v>
      </c>
      <c r="E182" s="35"/>
      <c r="F182" s="35">
        <f>SUM(F181:F181)</f>
        <v>0</v>
      </c>
    </row>
    <row r="183" spans="1:6" ht="12.75">
      <c r="A183" s="135">
        <v>7040</v>
      </c>
      <c r="B183" s="71">
        <v>3502</v>
      </c>
      <c r="C183" s="79" t="s">
        <v>164</v>
      </c>
      <c r="D183" s="58" t="s">
        <v>155</v>
      </c>
      <c r="E183" s="156"/>
      <c r="F183" s="38">
        <f>13694098/3*2</f>
        <v>9129398.666666666</v>
      </c>
    </row>
    <row r="184" spans="1:6" ht="12.75">
      <c r="A184" s="135">
        <v>7050</v>
      </c>
      <c r="B184" s="71">
        <v>3502</v>
      </c>
      <c r="C184" s="72" t="s">
        <v>62</v>
      </c>
      <c r="D184" s="58" t="s">
        <v>207</v>
      </c>
      <c r="E184" s="156"/>
      <c r="F184" s="38"/>
    </row>
    <row r="185" spans="1:6" ht="12.75">
      <c r="A185" s="135">
        <v>7060</v>
      </c>
      <c r="B185" s="71">
        <v>3502</v>
      </c>
      <c r="C185" s="60" t="s">
        <v>57</v>
      </c>
      <c r="D185" s="58" t="s">
        <v>196</v>
      </c>
      <c r="E185" s="156"/>
      <c r="F185" s="38"/>
    </row>
    <row r="186" spans="1:13" s="3" customFormat="1" ht="12.75">
      <c r="A186" s="135">
        <v>7070</v>
      </c>
      <c r="B186" s="71">
        <v>3502</v>
      </c>
      <c r="C186" s="79" t="s">
        <v>152</v>
      </c>
      <c r="D186" s="8" t="s">
        <v>203</v>
      </c>
      <c r="E186" s="22"/>
      <c r="F186" s="38">
        <v>159000</v>
      </c>
      <c r="G186" s="26"/>
      <c r="H186" s="173"/>
      <c r="M186" s="26"/>
    </row>
    <row r="187" spans="1:13" s="3" customFormat="1" ht="12.75">
      <c r="A187" s="135">
        <v>7080</v>
      </c>
      <c r="B187" s="71">
        <v>3502</v>
      </c>
      <c r="C187" s="79" t="s">
        <v>164</v>
      </c>
      <c r="D187" s="58" t="s">
        <v>228</v>
      </c>
      <c r="E187" s="156"/>
      <c r="F187" s="37">
        <v>420000</v>
      </c>
      <c r="G187" s="26"/>
      <c r="H187" s="173"/>
      <c r="M187" s="26"/>
    </row>
    <row r="188" spans="1:13" s="3" customFormat="1" ht="12.75">
      <c r="A188" s="135">
        <v>7090</v>
      </c>
      <c r="B188" s="71">
        <v>3502</v>
      </c>
      <c r="C188" s="79" t="s">
        <v>164</v>
      </c>
      <c r="D188" s="58" t="s">
        <v>226</v>
      </c>
      <c r="E188" s="156"/>
      <c r="F188" s="37">
        <v>160000</v>
      </c>
      <c r="G188" s="26"/>
      <c r="H188" s="173"/>
      <c r="M188" s="26"/>
    </row>
    <row r="189" spans="1:13" s="8" customFormat="1" ht="12.75">
      <c r="A189" s="135">
        <v>7100</v>
      </c>
      <c r="B189" s="71">
        <v>3502</v>
      </c>
      <c r="C189" s="79" t="s">
        <v>164</v>
      </c>
      <c r="D189" s="58" t="s">
        <v>227</v>
      </c>
      <c r="E189" s="156"/>
      <c r="F189" s="37"/>
      <c r="G189" s="22"/>
      <c r="H189" s="179"/>
      <c r="M189" s="22"/>
    </row>
    <row r="190" spans="1:13" s="3" customFormat="1" ht="12.75">
      <c r="A190" s="135">
        <v>7110</v>
      </c>
      <c r="B190" s="71">
        <v>3502</v>
      </c>
      <c r="C190" s="79" t="s">
        <v>31</v>
      </c>
      <c r="D190" s="32" t="s">
        <v>239</v>
      </c>
      <c r="E190" s="37"/>
      <c r="F190" s="37">
        <v>15600</v>
      </c>
      <c r="G190" s="26"/>
      <c r="H190" s="173"/>
      <c r="M190" s="26"/>
    </row>
    <row r="191" spans="1:13" s="3" customFormat="1" ht="12.75">
      <c r="A191" s="135">
        <v>7120</v>
      </c>
      <c r="B191" s="80">
        <v>1551</v>
      </c>
      <c r="C191" s="79" t="s">
        <v>152</v>
      </c>
      <c r="D191" s="73" t="s">
        <v>238</v>
      </c>
      <c r="E191" s="158"/>
      <c r="F191" s="37">
        <v>255000</v>
      </c>
      <c r="G191" s="26"/>
      <c r="H191" s="173"/>
      <c r="M191" s="26"/>
    </row>
    <row r="192" spans="1:13" s="3" customFormat="1" ht="12.75">
      <c r="A192" s="135"/>
      <c r="B192" s="71"/>
      <c r="C192" s="79"/>
      <c r="D192" s="32"/>
      <c r="E192" s="37"/>
      <c r="F192" s="37"/>
      <c r="G192" s="26"/>
      <c r="H192" s="173"/>
      <c r="M192" s="26"/>
    </row>
    <row r="193" spans="1:13" s="3" customFormat="1" ht="12.75">
      <c r="A193" s="135"/>
      <c r="B193" s="71"/>
      <c r="C193" s="79"/>
      <c r="D193" s="32"/>
      <c r="E193" s="37"/>
      <c r="F193" s="37"/>
      <c r="G193" s="26"/>
      <c r="H193" s="173"/>
      <c r="M193" s="26"/>
    </row>
    <row r="194" spans="1:12" s="3" customFormat="1" ht="12.75">
      <c r="A194" s="130">
        <v>7500</v>
      </c>
      <c r="B194" s="33">
        <v>381</v>
      </c>
      <c r="C194" s="33"/>
      <c r="D194" s="33" t="s">
        <v>9</v>
      </c>
      <c r="E194" s="35"/>
      <c r="F194" s="184">
        <f>110000+204059</f>
        <v>314059</v>
      </c>
      <c r="G194" s="173"/>
      <c r="L194" s="26"/>
    </row>
    <row r="195" spans="1:13" s="3" customFormat="1" ht="12.75">
      <c r="A195" s="130"/>
      <c r="B195" s="33"/>
      <c r="C195" s="33"/>
      <c r="D195" s="32"/>
      <c r="E195" s="37"/>
      <c r="F195" s="37"/>
      <c r="G195" s="26"/>
      <c r="H195" s="173"/>
      <c r="M195" s="26"/>
    </row>
    <row r="196" spans="1:13" s="3" customFormat="1" ht="12.75">
      <c r="A196" s="130"/>
      <c r="B196" s="33"/>
      <c r="C196" s="33"/>
      <c r="D196" s="32"/>
      <c r="E196" s="37"/>
      <c r="F196" s="37"/>
      <c r="G196" s="26"/>
      <c r="H196" s="173"/>
      <c r="M196" s="26"/>
    </row>
    <row r="197" spans="1:13" s="3" customFormat="1" ht="12.75">
      <c r="A197" s="130"/>
      <c r="B197" s="33"/>
      <c r="C197" s="33"/>
      <c r="D197" s="32"/>
      <c r="E197" s="37"/>
      <c r="F197" s="37"/>
      <c r="G197" s="26"/>
      <c r="H197" s="173"/>
      <c r="M197" s="26"/>
    </row>
    <row r="198" spans="1:13" s="3" customFormat="1" ht="12.75">
      <c r="A198" s="130"/>
      <c r="B198" s="33"/>
      <c r="C198" s="33"/>
      <c r="D198" s="32"/>
      <c r="E198" s="37"/>
      <c r="F198" s="37"/>
      <c r="G198" s="26"/>
      <c r="H198" s="173"/>
      <c r="M198" s="26"/>
    </row>
    <row r="199" spans="1:7" ht="12.75">
      <c r="A199" s="135">
        <v>8010</v>
      </c>
      <c r="B199" s="67">
        <v>15</v>
      </c>
      <c r="C199" s="67"/>
      <c r="D199" s="78" t="s">
        <v>49</v>
      </c>
      <c r="E199" s="162">
        <v>4948383</v>
      </c>
      <c r="F199" s="45">
        <f>SUM(F201:F227)</f>
        <v>17508714.666666664</v>
      </c>
      <c r="G199" s="26" t="s">
        <v>197</v>
      </c>
    </row>
    <row r="200" spans="1:13" s="8" customFormat="1" ht="12.75">
      <c r="A200" s="139"/>
      <c r="B200" s="68"/>
      <c r="C200" s="68"/>
      <c r="D200" s="68"/>
      <c r="E200" s="155"/>
      <c r="F200" s="38"/>
      <c r="G200" s="9"/>
      <c r="H200" s="179"/>
      <c r="M200" s="22"/>
    </row>
    <row r="201" spans="1:13" s="8" customFormat="1" ht="12.75">
      <c r="A201" s="139">
        <v>8020</v>
      </c>
      <c r="B201" s="71">
        <v>1551</v>
      </c>
      <c r="C201" s="72" t="s">
        <v>62</v>
      </c>
      <c r="D201" s="32" t="s">
        <v>205</v>
      </c>
      <c r="E201" s="37"/>
      <c r="F201" s="185">
        <f>3500000-70000-36000</f>
        <v>3394000</v>
      </c>
      <c r="G201" s="22">
        <f>F201-F184</f>
        <v>3394000</v>
      </c>
      <c r="H201" s="179"/>
      <c r="M201" s="22"/>
    </row>
    <row r="202" spans="1:13" s="8" customFormat="1" ht="12.75">
      <c r="A202" s="139">
        <v>8040</v>
      </c>
      <c r="B202" s="80">
        <v>1551</v>
      </c>
      <c r="C202" s="93" t="s">
        <v>164</v>
      </c>
      <c r="D202" s="58" t="s">
        <v>155</v>
      </c>
      <c r="E202" s="156"/>
      <c r="F202" s="37">
        <f>16135072/3*2</f>
        <v>10756714.666666666</v>
      </c>
      <c r="G202" s="22">
        <f>F202-F183</f>
        <v>1627316</v>
      </c>
      <c r="H202" s="179"/>
      <c r="I202" s="116"/>
      <c r="M202" s="22"/>
    </row>
    <row r="203" spans="1:13" s="8" customFormat="1" ht="12.75">
      <c r="A203" s="139">
        <v>8060</v>
      </c>
      <c r="B203" s="80">
        <v>1551</v>
      </c>
      <c r="C203" s="79" t="s">
        <v>31</v>
      </c>
      <c r="D203" s="58" t="s">
        <v>156</v>
      </c>
      <c r="E203" s="156"/>
      <c r="F203" s="95">
        <v>200000</v>
      </c>
      <c r="G203" s="22">
        <f aca="true" t="shared" si="2" ref="G203:G214">F203</f>
        <v>200000</v>
      </c>
      <c r="H203" s="179"/>
      <c r="M203" s="22"/>
    </row>
    <row r="204" spans="1:13" s="8" customFormat="1" ht="12.75">
      <c r="A204" s="139">
        <v>8080</v>
      </c>
      <c r="B204" s="80">
        <v>1551</v>
      </c>
      <c r="C204" s="79" t="s">
        <v>38</v>
      </c>
      <c r="D204" s="58" t="s">
        <v>260</v>
      </c>
      <c r="E204" s="156"/>
      <c r="F204" s="95">
        <f>100000</f>
        <v>100000</v>
      </c>
      <c r="G204" s="22">
        <f t="shared" si="2"/>
        <v>100000</v>
      </c>
      <c r="H204" s="179"/>
      <c r="M204" s="22"/>
    </row>
    <row r="205" spans="1:13" s="8" customFormat="1" ht="12.75">
      <c r="A205" s="139">
        <v>8100</v>
      </c>
      <c r="B205" s="80">
        <v>1551</v>
      </c>
      <c r="C205" s="79" t="s">
        <v>152</v>
      </c>
      <c r="D205" s="58" t="s">
        <v>229</v>
      </c>
      <c r="E205" s="156"/>
      <c r="F205" s="95">
        <f>387000-100000</f>
        <v>287000</v>
      </c>
      <c r="G205" s="22">
        <f>F205</f>
        <v>287000</v>
      </c>
      <c r="H205" s="179"/>
      <c r="M205" s="22"/>
    </row>
    <row r="206" spans="1:13" s="8" customFormat="1" ht="12.75">
      <c r="A206" s="139">
        <v>8120</v>
      </c>
      <c r="B206" s="80">
        <v>1551</v>
      </c>
      <c r="C206" s="79" t="s">
        <v>164</v>
      </c>
      <c r="D206" s="58" t="s">
        <v>244</v>
      </c>
      <c r="E206" s="156"/>
      <c r="F206" s="95">
        <v>600000</v>
      </c>
      <c r="G206" s="22">
        <f>F206-F187</f>
        <v>180000</v>
      </c>
      <c r="H206" s="179"/>
      <c r="M206" s="22"/>
    </row>
    <row r="207" spans="1:13" s="8" customFormat="1" ht="12.75">
      <c r="A207" s="139">
        <v>8140</v>
      </c>
      <c r="B207" s="80">
        <v>1551</v>
      </c>
      <c r="C207" s="79" t="s">
        <v>164</v>
      </c>
      <c r="D207" s="58" t="s">
        <v>245</v>
      </c>
      <c r="E207" s="156"/>
      <c r="F207" s="95">
        <v>200000</v>
      </c>
      <c r="G207" s="22">
        <f>F207-F188</f>
        <v>40000</v>
      </c>
      <c r="H207" s="179"/>
      <c r="M207" s="22"/>
    </row>
    <row r="208" spans="1:13" s="8" customFormat="1" ht="12.75">
      <c r="A208" s="139">
        <v>8160</v>
      </c>
      <c r="B208" s="80">
        <v>1551</v>
      </c>
      <c r="C208" s="79" t="s">
        <v>164</v>
      </c>
      <c r="D208" s="58" t="s">
        <v>227</v>
      </c>
      <c r="E208" s="156"/>
      <c r="F208" s="95"/>
      <c r="G208" s="22">
        <f>F208-F189</f>
        <v>0</v>
      </c>
      <c r="H208" s="179"/>
      <c r="M208" s="22"/>
    </row>
    <row r="209" spans="1:13" s="8" customFormat="1" ht="12.75">
      <c r="A209" s="139">
        <v>8180</v>
      </c>
      <c r="B209" s="80">
        <v>1551</v>
      </c>
      <c r="C209" s="60" t="s">
        <v>38</v>
      </c>
      <c r="D209" s="58" t="s">
        <v>206</v>
      </c>
      <c r="E209" s="156"/>
      <c r="F209" s="95">
        <v>20000</v>
      </c>
      <c r="G209" s="22">
        <f t="shared" si="2"/>
        <v>20000</v>
      </c>
      <c r="H209" s="179"/>
      <c r="M209" s="22"/>
    </row>
    <row r="210" spans="1:13" s="8" customFormat="1" ht="12.75">
      <c r="A210" s="139">
        <v>8200</v>
      </c>
      <c r="B210" s="80">
        <v>1551</v>
      </c>
      <c r="C210" s="72" t="s">
        <v>62</v>
      </c>
      <c r="D210" s="182" t="s">
        <v>275</v>
      </c>
      <c r="E210" s="183"/>
      <c r="F210" s="181">
        <v>36000</v>
      </c>
      <c r="G210" s="22">
        <f t="shared" si="2"/>
        <v>36000</v>
      </c>
      <c r="H210" s="179"/>
      <c r="M210" s="22"/>
    </row>
    <row r="211" spans="1:13" s="8" customFormat="1" ht="12.75">
      <c r="A211" s="139">
        <v>8220</v>
      </c>
      <c r="B211" s="80">
        <v>1551</v>
      </c>
      <c r="C211" s="79" t="s">
        <v>38</v>
      </c>
      <c r="D211" s="58" t="s">
        <v>194</v>
      </c>
      <c r="E211" s="156"/>
      <c r="F211" s="95">
        <v>130000</v>
      </c>
      <c r="G211" s="22">
        <f t="shared" si="2"/>
        <v>130000</v>
      </c>
      <c r="H211" s="179"/>
      <c r="M211" s="22"/>
    </row>
    <row r="212" spans="1:13" s="8" customFormat="1" ht="12.75">
      <c r="A212" s="139">
        <v>8240</v>
      </c>
      <c r="B212" s="80">
        <v>1551</v>
      </c>
      <c r="C212" s="93" t="s">
        <v>31</v>
      </c>
      <c r="D212" s="58" t="s">
        <v>123</v>
      </c>
      <c r="E212" s="156"/>
      <c r="F212" s="37">
        <v>43000</v>
      </c>
      <c r="G212" s="22">
        <f>F212-F190</f>
        <v>27400</v>
      </c>
      <c r="H212" s="179"/>
      <c r="M212" s="22"/>
    </row>
    <row r="213" spans="1:13" s="8" customFormat="1" ht="12.75">
      <c r="A213" s="139">
        <v>8260</v>
      </c>
      <c r="B213" s="80">
        <v>1551</v>
      </c>
      <c r="C213" s="79" t="s">
        <v>152</v>
      </c>
      <c r="D213" s="58" t="s">
        <v>289</v>
      </c>
      <c r="E213" s="156"/>
      <c r="F213" s="95">
        <v>45000</v>
      </c>
      <c r="G213" s="22">
        <f t="shared" si="2"/>
        <v>45000</v>
      </c>
      <c r="H213" s="179"/>
      <c r="M213" s="22"/>
    </row>
    <row r="214" spans="1:13" s="8" customFormat="1" ht="12.75">
      <c r="A214" s="139">
        <v>8280</v>
      </c>
      <c r="B214" s="80">
        <v>1551</v>
      </c>
      <c r="C214" s="79" t="s">
        <v>152</v>
      </c>
      <c r="D214" s="58" t="s">
        <v>195</v>
      </c>
      <c r="E214" s="156"/>
      <c r="F214" s="95">
        <v>20000</v>
      </c>
      <c r="G214" s="22">
        <f t="shared" si="2"/>
        <v>20000</v>
      </c>
      <c r="H214" s="179"/>
      <c r="M214" s="22"/>
    </row>
    <row r="215" spans="1:13" s="8" customFormat="1" ht="12.75">
      <c r="A215" s="139">
        <v>8300</v>
      </c>
      <c r="B215" s="71">
        <v>1551</v>
      </c>
      <c r="C215" s="72" t="s">
        <v>62</v>
      </c>
      <c r="D215" s="58" t="s">
        <v>222</v>
      </c>
      <c r="E215" s="156"/>
      <c r="F215" s="95">
        <f>300000+600000</f>
        <v>900000</v>
      </c>
      <c r="G215" s="22">
        <f>F215-F185</f>
        <v>900000</v>
      </c>
      <c r="H215" s="179"/>
      <c r="M215" s="22"/>
    </row>
    <row r="216" spans="1:13" s="8" customFormat="1" ht="12.75">
      <c r="A216" s="139">
        <v>8320</v>
      </c>
      <c r="B216" s="80">
        <v>1551</v>
      </c>
      <c r="C216" s="79" t="s">
        <v>152</v>
      </c>
      <c r="D216" s="58" t="s">
        <v>204</v>
      </c>
      <c r="E216" s="156"/>
      <c r="F216" s="117"/>
      <c r="G216" s="22">
        <f>F216</f>
        <v>0</v>
      </c>
      <c r="H216" s="179"/>
      <c r="M216" s="22"/>
    </row>
    <row r="217" spans="1:13" s="8" customFormat="1" ht="12.75">
      <c r="A217" s="139">
        <v>8340</v>
      </c>
      <c r="B217" s="80">
        <v>1551</v>
      </c>
      <c r="C217" s="79" t="s">
        <v>152</v>
      </c>
      <c r="D217" s="32" t="s">
        <v>203</v>
      </c>
      <c r="E217" s="37"/>
      <c r="F217" s="95">
        <f>159000+53000</f>
        <v>212000</v>
      </c>
      <c r="G217" s="22">
        <f>F217-F186</f>
        <v>53000</v>
      </c>
      <c r="H217" s="179"/>
      <c r="M217" s="22"/>
    </row>
    <row r="218" spans="1:13" s="3" customFormat="1" ht="12.75">
      <c r="A218" s="139">
        <v>8360</v>
      </c>
      <c r="B218" s="80">
        <v>1551</v>
      </c>
      <c r="C218" s="79" t="s">
        <v>152</v>
      </c>
      <c r="D218" s="134" t="s">
        <v>235</v>
      </c>
      <c r="E218" s="163"/>
      <c r="F218" s="95">
        <v>25000</v>
      </c>
      <c r="G218" s="22">
        <f>F218</f>
        <v>25000</v>
      </c>
      <c r="H218" s="173"/>
      <c r="I218" s="8" t="s">
        <v>288</v>
      </c>
      <c r="M218" s="26"/>
    </row>
    <row r="219" spans="1:13" s="8" customFormat="1" ht="12.75">
      <c r="A219" s="139">
        <v>8380</v>
      </c>
      <c r="B219" s="80">
        <v>1551</v>
      </c>
      <c r="C219" s="131" t="s">
        <v>28</v>
      </c>
      <c r="D219" s="115" t="s">
        <v>276</v>
      </c>
      <c r="E219" s="164"/>
      <c r="F219" s="114">
        <v>44000</v>
      </c>
      <c r="G219" s="22">
        <f>F219</f>
        <v>44000</v>
      </c>
      <c r="H219" s="179"/>
      <c r="M219" s="22"/>
    </row>
    <row r="220" spans="1:13" s="8" customFormat="1" ht="12.75">
      <c r="A220" s="139">
        <v>8400</v>
      </c>
      <c r="B220" s="80">
        <v>1551</v>
      </c>
      <c r="C220" s="79" t="s">
        <v>152</v>
      </c>
      <c r="D220" s="115" t="s">
        <v>243</v>
      </c>
      <c r="E220" s="164"/>
      <c r="F220" s="114">
        <v>15000</v>
      </c>
      <c r="G220" s="22">
        <f>F220</f>
        <v>15000</v>
      </c>
      <c r="H220" s="179"/>
      <c r="M220" s="22"/>
    </row>
    <row r="221" spans="1:13" s="3" customFormat="1" ht="12.75">
      <c r="A221" s="139">
        <v>8420</v>
      </c>
      <c r="B221" s="80">
        <v>1551</v>
      </c>
      <c r="C221" s="79" t="s">
        <v>152</v>
      </c>
      <c r="D221" s="73" t="s">
        <v>238</v>
      </c>
      <c r="E221" s="158"/>
      <c r="F221" s="95">
        <v>300000</v>
      </c>
      <c r="G221" s="22">
        <f>F221-F191</f>
        <v>45000</v>
      </c>
      <c r="H221" s="173"/>
      <c r="M221" s="26"/>
    </row>
    <row r="222" spans="1:13" s="3" customFormat="1" ht="12.75">
      <c r="A222" s="139">
        <v>8430</v>
      </c>
      <c r="B222" s="80">
        <v>1551</v>
      </c>
      <c r="C222" s="79" t="s">
        <v>31</v>
      </c>
      <c r="D222" s="73" t="s">
        <v>247</v>
      </c>
      <c r="E222" s="158"/>
      <c r="F222" s="95"/>
      <c r="G222" s="22">
        <f>F222-F192</f>
        <v>0</v>
      </c>
      <c r="H222" s="173"/>
      <c r="M222" s="26"/>
    </row>
    <row r="223" spans="1:13" s="3" customFormat="1" ht="12.75">
      <c r="A223" s="139">
        <v>8440</v>
      </c>
      <c r="B223" s="80">
        <v>1551</v>
      </c>
      <c r="C223" s="79" t="s">
        <v>31</v>
      </c>
      <c r="D223" s="73" t="s">
        <v>248</v>
      </c>
      <c r="E223" s="158"/>
      <c r="F223" s="95"/>
      <c r="G223" s="22">
        <f>F223-F193</f>
        <v>0</v>
      </c>
      <c r="H223" s="173"/>
      <c r="M223" s="26"/>
    </row>
    <row r="224" spans="1:13" s="3" customFormat="1" ht="12.75">
      <c r="A224" s="139"/>
      <c r="B224" s="80">
        <v>1551</v>
      </c>
      <c r="C224" s="72" t="s">
        <v>62</v>
      </c>
      <c r="D224" s="73" t="s">
        <v>278</v>
      </c>
      <c r="E224" s="158"/>
      <c r="F224" s="181">
        <f>30000+70000</f>
        <v>100000</v>
      </c>
      <c r="G224" s="22">
        <f>F224</f>
        <v>100000</v>
      </c>
      <c r="H224" s="173"/>
      <c r="M224" s="26"/>
    </row>
    <row r="225" spans="1:13" s="3" customFormat="1" ht="12.75">
      <c r="A225" s="139">
        <v>8445</v>
      </c>
      <c r="B225" s="80">
        <v>1551</v>
      </c>
      <c r="C225" s="72"/>
      <c r="D225" s="73" t="s">
        <v>277</v>
      </c>
      <c r="E225" s="158"/>
      <c r="F225" s="95">
        <v>20000</v>
      </c>
      <c r="G225" s="22">
        <f>F225</f>
        <v>20000</v>
      </c>
      <c r="H225" s="173"/>
      <c r="M225" s="26"/>
    </row>
    <row r="226" spans="1:13" s="3" customFormat="1" ht="12.75">
      <c r="A226" s="139">
        <v>8450</v>
      </c>
      <c r="B226" s="80">
        <v>1551</v>
      </c>
      <c r="C226" s="79" t="s">
        <v>38</v>
      </c>
      <c r="D226" s="73" t="s">
        <v>273</v>
      </c>
      <c r="E226" s="158"/>
      <c r="F226" s="181">
        <v>25000</v>
      </c>
      <c r="G226" s="22">
        <f>F226</f>
        <v>25000</v>
      </c>
      <c r="H226" s="173"/>
      <c r="I226" s="8" t="s">
        <v>287</v>
      </c>
      <c r="M226" s="26"/>
    </row>
    <row r="227" spans="1:13" s="3" customFormat="1" ht="12.75">
      <c r="A227" s="139"/>
      <c r="B227" s="80"/>
      <c r="C227" s="79"/>
      <c r="D227" s="193" t="s">
        <v>301</v>
      </c>
      <c r="E227" s="194"/>
      <c r="F227" s="181">
        <v>36000</v>
      </c>
      <c r="G227" s="22">
        <f>F227</f>
        <v>36000</v>
      </c>
      <c r="H227" s="173"/>
      <c r="I227" s="8"/>
      <c r="M227" s="26"/>
    </row>
    <row r="228" spans="1:7" ht="12.75">
      <c r="A228" s="135">
        <v>9010</v>
      </c>
      <c r="B228" s="67">
        <v>6</v>
      </c>
      <c r="C228" s="67"/>
      <c r="D228" s="67" t="s">
        <v>45</v>
      </c>
      <c r="E228" s="154">
        <v>69402</v>
      </c>
      <c r="F228" s="45">
        <f>F230</f>
        <v>133233</v>
      </c>
      <c r="G228" s="26">
        <f>SUM(G201:G226)</f>
        <v>7333716</v>
      </c>
    </row>
    <row r="229" spans="2:6" ht="12.75">
      <c r="B229" s="68"/>
      <c r="C229" s="68"/>
      <c r="D229" s="68"/>
      <c r="E229" s="155"/>
      <c r="F229" s="38"/>
    </row>
    <row r="230" spans="1:6" ht="12.75">
      <c r="A230" s="135">
        <v>9020</v>
      </c>
      <c r="B230" s="81">
        <v>6501</v>
      </c>
      <c r="C230" s="72" t="s">
        <v>46</v>
      </c>
      <c r="D230" s="73" t="s">
        <v>65</v>
      </c>
      <c r="E230" s="158">
        <v>69402</v>
      </c>
      <c r="F230" s="38">
        <v>133233</v>
      </c>
    </row>
    <row r="231" spans="2:5" ht="12.75">
      <c r="B231" s="10"/>
      <c r="C231" s="11"/>
      <c r="D231" s="13"/>
      <c r="E231" s="159"/>
    </row>
    <row r="232" spans="1:13" s="16" customFormat="1" ht="15.75">
      <c r="A232" s="136"/>
      <c r="B232" s="10"/>
      <c r="C232" s="11"/>
      <c r="D232" s="12"/>
      <c r="E232" s="159"/>
      <c r="F232" s="94"/>
      <c r="G232" s="9"/>
      <c r="H232" s="172"/>
      <c r="M232" s="90"/>
    </row>
    <row r="233" spans="1:7" ht="15.75">
      <c r="A233" s="135">
        <v>9210</v>
      </c>
      <c r="B233" s="17"/>
      <c r="C233" s="18"/>
      <c r="D233" s="15" t="s">
        <v>78</v>
      </c>
      <c r="E233" s="160">
        <v>820745.4799999977</v>
      </c>
      <c r="F233" s="19">
        <f>F173+F179</f>
        <v>-6649816.903999997</v>
      </c>
      <c r="G233" s="90"/>
    </row>
    <row r="234" spans="2:5" ht="12.75">
      <c r="B234" s="5"/>
      <c r="C234" s="6"/>
      <c r="D234" s="7"/>
      <c r="E234" s="165"/>
    </row>
    <row r="236" ht="15">
      <c r="B236" s="4" t="s">
        <v>54</v>
      </c>
    </row>
    <row r="237" spans="1:13" s="3" customFormat="1" ht="15">
      <c r="A237" s="130"/>
      <c r="B237" s="4"/>
      <c r="C237"/>
      <c r="D237"/>
      <c r="E237" s="9"/>
      <c r="F237" s="94"/>
      <c r="G237" s="9"/>
      <c r="H237" s="173"/>
      <c r="M237" s="26"/>
    </row>
    <row r="238" spans="1:8" s="3" customFormat="1" ht="12.75">
      <c r="A238" s="135">
        <v>9510</v>
      </c>
      <c r="B238" s="82" t="s">
        <v>59</v>
      </c>
      <c r="C238" s="83"/>
      <c r="D238" s="34" t="s">
        <v>53</v>
      </c>
      <c r="E238" s="143">
        <v>-497280</v>
      </c>
      <c r="F238" s="35">
        <f>-500183-150000</f>
        <v>-650183</v>
      </c>
      <c r="G238" s="26"/>
      <c r="H238" s="173"/>
    </row>
    <row r="239" spans="1:13" ht="12.75">
      <c r="A239" s="135">
        <v>9520</v>
      </c>
      <c r="B239" s="82" t="s">
        <v>60</v>
      </c>
      <c r="C239" s="83"/>
      <c r="D239" s="34" t="s">
        <v>61</v>
      </c>
      <c r="E239" s="143">
        <v>1430000</v>
      </c>
      <c r="F239" s="108">
        <v>7300000</v>
      </c>
      <c r="G239" s="26"/>
      <c r="M239"/>
    </row>
    <row r="240" spans="2:13" ht="12.75">
      <c r="B240" s="187"/>
      <c r="C240" s="188"/>
      <c r="D240" s="189"/>
      <c r="E240" s="190"/>
      <c r="F240" s="191"/>
      <c r="G240" s="26"/>
      <c r="M240"/>
    </row>
    <row r="241" spans="1:13" ht="12.75">
      <c r="A241" s="135">
        <v>9999</v>
      </c>
      <c r="D241" s="8" t="s">
        <v>224</v>
      </c>
      <c r="E241" s="22"/>
      <c r="F241" s="109">
        <f>F233+F238+F239</f>
        <v>0.09600000269711018</v>
      </c>
      <c r="M241"/>
    </row>
    <row r="242" ht="12.75">
      <c r="M242"/>
    </row>
    <row r="243" ht="12.75">
      <c r="M243"/>
    </row>
    <row r="244" spans="8:13" ht="12.75" hidden="1">
      <c r="H244" s="173" t="s">
        <v>225</v>
      </c>
      <c r="M244"/>
    </row>
    <row r="245" ht="12.75" hidden="1">
      <c r="M245"/>
    </row>
    <row r="246" spans="6:13" ht="12.75" hidden="1">
      <c r="F246"/>
      <c r="G246"/>
      <c r="H246" s="173"/>
      <c r="I246" s="130">
        <v>2020</v>
      </c>
      <c r="K246">
        <v>2019</v>
      </c>
      <c r="L246">
        <v>2018</v>
      </c>
      <c r="M246" s="110" t="s">
        <v>234</v>
      </c>
    </row>
    <row r="247" spans="6:13" ht="12.75" hidden="1">
      <c r="F247"/>
      <c r="G247" s="3">
        <v>2019</v>
      </c>
      <c r="H247" s="171" t="s">
        <v>217</v>
      </c>
      <c r="I247" s="9">
        <f>19535506*0.6</f>
        <v>11721303.6</v>
      </c>
      <c r="J247" s="8" t="s">
        <v>101</v>
      </c>
      <c r="K247" s="9">
        <v>427846</v>
      </c>
      <c r="L247" s="9">
        <v>441240</v>
      </c>
      <c r="M247" s="133">
        <f>K247/L247-1</f>
        <v>-0.030355362161182176</v>
      </c>
    </row>
    <row r="248" spans="6:13" ht="12.75" hidden="1">
      <c r="F248"/>
      <c r="G248" s="9">
        <f>19267053*0.6</f>
        <v>11560231.799999999</v>
      </c>
      <c r="H248" s="171" t="s">
        <v>218</v>
      </c>
      <c r="I248" s="9">
        <f>-5412843-400000</f>
        <v>-5812843</v>
      </c>
      <c r="J248" s="8" t="s">
        <v>102</v>
      </c>
      <c r="K248" s="9">
        <v>5291396</v>
      </c>
      <c r="L248" s="9">
        <v>4952761</v>
      </c>
      <c r="M248" s="133">
        <f>K248/L248-1</f>
        <v>0.06837297418550992</v>
      </c>
    </row>
    <row r="249" spans="6:9" ht="12.75" hidden="1">
      <c r="F249"/>
      <c r="G249" s="9">
        <f>-5913026</f>
        <v>-5913026</v>
      </c>
      <c r="H249" s="179" t="s">
        <v>223</v>
      </c>
      <c r="I249" s="9">
        <f>-6700000</f>
        <v>-6700000</v>
      </c>
    </row>
    <row r="250" spans="6:9" ht="12.75" hidden="1">
      <c r="F250"/>
      <c r="G250" s="9">
        <v>-400000</v>
      </c>
      <c r="H250" s="179" t="s">
        <v>181</v>
      </c>
      <c r="I250" s="9">
        <f>SUM(I247:I249)</f>
        <v>-791539.4000000004</v>
      </c>
    </row>
    <row r="251" spans="6:9" ht="12.75" hidden="1">
      <c r="F251"/>
      <c r="G251" s="9">
        <f>SUM(G248:G250)</f>
        <v>5247205.799999999</v>
      </c>
      <c r="H251" s="171" t="s">
        <v>219</v>
      </c>
      <c r="I251" s="9">
        <v>925000</v>
      </c>
    </row>
    <row r="252" spans="6:9" ht="12.75" hidden="1">
      <c r="F252"/>
      <c r="G252" s="9">
        <v>1925000</v>
      </c>
      <c r="H252" s="171" t="s">
        <v>220</v>
      </c>
      <c r="I252" s="9"/>
    </row>
    <row r="253" spans="6:9" ht="12.75" hidden="1">
      <c r="F253"/>
      <c r="G253" s="9">
        <v>-820000</v>
      </c>
      <c r="H253" s="171" t="s">
        <v>221</v>
      </c>
      <c r="I253" s="9">
        <f>SUM(I250:I252)</f>
        <v>133460.59999999963</v>
      </c>
    </row>
    <row r="254" ht="12.75" hidden="1">
      <c r="G254" s="9">
        <f>SUM(G251:G253)</f>
        <v>6352205.799999999</v>
      </c>
    </row>
    <row r="255" ht="12.75" hidden="1">
      <c r="G255"/>
    </row>
    <row r="256" ht="12.75">
      <c r="G256"/>
    </row>
    <row r="257" ht="12.75">
      <c r="G257"/>
    </row>
    <row r="258" spans="7:13" ht="12.75">
      <c r="G258"/>
      <c r="J258" s="9"/>
      <c r="M258"/>
    </row>
    <row r="259" spans="10:13" ht="12.75">
      <c r="J259" s="9"/>
      <c r="M259"/>
    </row>
    <row r="260" spans="7:13" ht="12.75">
      <c r="G260"/>
      <c r="J260" s="9"/>
      <c r="M260"/>
    </row>
    <row r="261" spans="7:13" ht="12.75">
      <c r="G261"/>
      <c r="J261" s="9"/>
      <c r="M261"/>
    </row>
    <row r="262" spans="7:13" ht="12.75">
      <c r="G262"/>
      <c r="J262" s="9"/>
      <c r="M262"/>
    </row>
    <row r="263" spans="7:13" ht="12.75">
      <c r="G263"/>
      <c r="J263" s="9"/>
      <c r="M263"/>
    </row>
    <row r="264" spans="7:13" ht="12.75">
      <c r="G264"/>
      <c r="J264" s="9"/>
      <c r="M264"/>
    </row>
    <row r="265" spans="7:13" ht="12.75">
      <c r="G265"/>
      <c r="J265" s="9"/>
      <c r="M265"/>
    </row>
    <row r="266" spans="7:13" ht="12.75">
      <c r="G266"/>
      <c r="J266" s="9"/>
      <c r="M266"/>
    </row>
    <row r="267" spans="7:13" ht="12.75">
      <c r="G267"/>
      <c r="J267" s="9"/>
      <c r="M267"/>
    </row>
    <row r="268" ht="12.75">
      <c r="G268"/>
    </row>
  </sheetData>
  <sheetProtection/>
  <printOptions horizontalCentered="1"/>
  <pageMargins left="0.1968503937007874" right="0.1968503937007874" top="0.5905511811023623" bottom="0.5905511811023623" header="0.5118110236220472" footer="0.5118110236220472"/>
  <pageSetup fitToHeight="7" horizontalDpi="300" verticalDpi="300" orientation="landscape" paperSize="8" scale="92" r:id="rId1"/>
</worksheet>
</file>

<file path=xl/worksheets/sheet2.xml><?xml version="1.0" encoding="utf-8"?>
<worksheet xmlns="http://schemas.openxmlformats.org/spreadsheetml/2006/main" xmlns:r="http://schemas.openxmlformats.org/officeDocument/2006/relationships">
  <dimension ref="A2:G27"/>
  <sheetViews>
    <sheetView zoomScalePageLayoutView="0" workbookViewId="0" topLeftCell="A1">
      <selection activeCell="D18" sqref="D18"/>
    </sheetView>
  </sheetViews>
  <sheetFormatPr defaultColWidth="9.140625" defaultRowHeight="12.75"/>
  <cols>
    <col min="1" max="1" width="35.7109375" style="0" customWidth="1"/>
    <col min="2" max="2" width="12.421875" style="0" bestFit="1" customWidth="1"/>
    <col min="3" max="3" width="14.57421875" style="0" customWidth="1"/>
    <col min="4" max="4" width="11.00390625" style="0" bestFit="1" customWidth="1"/>
    <col min="6" max="7" width="9.140625" style="9" customWidth="1"/>
    <col min="8" max="8" width="12.28125" style="0" customWidth="1"/>
  </cols>
  <sheetData>
    <row r="2" spans="1:3" ht="12.75">
      <c r="A2" s="103" t="s">
        <v>174</v>
      </c>
      <c r="B2" t="s">
        <v>175</v>
      </c>
      <c r="C2" s="3">
        <v>2019</v>
      </c>
    </row>
    <row r="3" spans="1:3" ht="12.75">
      <c r="A3" s="97" t="s">
        <v>176</v>
      </c>
      <c r="B3" s="98">
        <v>280</v>
      </c>
      <c r="C3">
        <v>276</v>
      </c>
    </row>
    <row r="4" spans="1:3" ht="12.75">
      <c r="A4" s="97" t="s">
        <v>114</v>
      </c>
      <c r="B4" s="98">
        <v>61</v>
      </c>
      <c r="C4">
        <v>73</v>
      </c>
    </row>
    <row r="5" spans="1:3" ht="12.75">
      <c r="A5" s="97" t="s">
        <v>177</v>
      </c>
      <c r="B5" s="98">
        <v>136</v>
      </c>
      <c r="C5">
        <v>138</v>
      </c>
    </row>
    <row r="6" spans="1:3" ht="12.75">
      <c r="A6" s="97" t="s">
        <v>70</v>
      </c>
      <c r="B6" s="98">
        <v>192</v>
      </c>
      <c r="C6">
        <v>221</v>
      </c>
    </row>
    <row r="7" spans="1:4" ht="12.75">
      <c r="A7" s="97" t="s">
        <v>178</v>
      </c>
      <c r="B7" s="98">
        <v>102</v>
      </c>
      <c r="C7">
        <v>55</v>
      </c>
      <c r="D7">
        <v>18</v>
      </c>
    </row>
    <row r="8" spans="1:3" ht="12.75">
      <c r="A8" s="97" t="s">
        <v>179</v>
      </c>
      <c r="B8" s="98">
        <v>96</v>
      </c>
      <c r="C8">
        <v>104</v>
      </c>
    </row>
    <row r="9" spans="1:3" ht="12.75">
      <c r="A9" s="97" t="s">
        <v>106</v>
      </c>
      <c r="B9" s="98">
        <v>119</v>
      </c>
      <c r="C9">
        <v>120</v>
      </c>
    </row>
    <row r="10" spans="1:3" ht="12.75">
      <c r="A10" s="97" t="s">
        <v>107</v>
      </c>
      <c r="B10" s="98">
        <v>40</v>
      </c>
      <c r="C10">
        <v>0</v>
      </c>
    </row>
    <row r="11" spans="1:3" ht="12.75">
      <c r="A11" s="97" t="s">
        <v>89</v>
      </c>
      <c r="B11" s="98">
        <v>45</v>
      </c>
      <c r="C11">
        <v>47</v>
      </c>
    </row>
    <row r="12" spans="1:3" ht="12.75">
      <c r="A12" s="97" t="s">
        <v>180</v>
      </c>
      <c r="B12" s="98">
        <v>54</v>
      </c>
      <c r="C12">
        <v>54</v>
      </c>
    </row>
    <row r="13" spans="1:3" ht="12.75">
      <c r="A13" s="97" t="s">
        <v>181</v>
      </c>
      <c r="B13" s="98">
        <v>1125</v>
      </c>
      <c r="C13" s="122">
        <f>SUM(C3:C12)</f>
        <v>1088</v>
      </c>
    </row>
    <row r="17" spans="1:7" s="3" customFormat="1" ht="12.75">
      <c r="A17" s="99" t="s">
        <v>182</v>
      </c>
      <c r="B17" s="99" t="s">
        <v>183</v>
      </c>
      <c r="C17" s="3">
        <v>2019</v>
      </c>
      <c r="F17" s="26"/>
      <c r="G17" s="26"/>
    </row>
    <row r="18" spans="1:4" ht="12.75">
      <c r="A18" s="100" t="s">
        <v>84</v>
      </c>
      <c r="B18">
        <v>91</v>
      </c>
      <c r="C18">
        <v>89</v>
      </c>
      <c r="D18">
        <f>B18-C18</f>
        <v>2</v>
      </c>
    </row>
    <row r="19" spans="1:4" ht="12.75">
      <c r="A19" s="100" t="s">
        <v>85</v>
      </c>
      <c r="B19">
        <v>69</v>
      </c>
      <c r="C19">
        <v>83</v>
      </c>
      <c r="D19">
        <f aca="true" t="shared" si="0" ref="D19:D26">B19-C19</f>
        <v>-14</v>
      </c>
    </row>
    <row r="20" spans="1:4" ht="12.75">
      <c r="A20" s="101" t="s">
        <v>86</v>
      </c>
      <c r="B20">
        <v>57</v>
      </c>
      <c r="C20">
        <v>57</v>
      </c>
      <c r="D20">
        <f t="shared" si="0"/>
        <v>0</v>
      </c>
    </row>
    <row r="21" spans="1:4" ht="12.75">
      <c r="A21" s="101" t="s">
        <v>88</v>
      </c>
      <c r="B21">
        <v>125</v>
      </c>
      <c r="C21">
        <v>124</v>
      </c>
      <c r="D21">
        <f t="shared" si="0"/>
        <v>1</v>
      </c>
    </row>
    <row r="22" spans="1:4" ht="12.75">
      <c r="A22" s="101" t="s">
        <v>87</v>
      </c>
      <c r="B22">
        <v>70</v>
      </c>
      <c r="C22">
        <v>70</v>
      </c>
      <c r="D22">
        <f t="shared" si="0"/>
        <v>0</v>
      </c>
    </row>
    <row r="23" spans="1:4" ht="12.75">
      <c r="A23" s="101" t="s">
        <v>154</v>
      </c>
      <c r="B23">
        <v>54</v>
      </c>
      <c r="C23">
        <v>65</v>
      </c>
      <c r="D23">
        <f t="shared" si="0"/>
        <v>-11</v>
      </c>
    </row>
    <row r="24" spans="1:4" ht="12.75">
      <c r="A24" s="101" t="s">
        <v>151</v>
      </c>
      <c r="B24">
        <v>38</v>
      </c>
      <c r="C24">
        <v>31</v>
      </c>
      <c r="D24">
        <f t="shared" si="0"/>
        <v>7</v>
      </c>
    </row>
    <row r="25" spans="1:4" ht="12.75">
      <c r="A25" s="101" t="s">
        <v>103</v>
      </c>
      <c r="B25">
        <v>34</v>
      </c>
      <c r="C25">
        <v>36</v>
      </c>
      <c r="D25">
        <f t="shared" si="0"/>
        <v>-2</v>
      </c>
    </row>
    <row r="26" spans="1:4" ht="12.75">
      <c r="A26" s="101" t="s">
        <v>104</v>
      </c>
      <c r="B26">
        <v>79</v>
      </c>
      <c r="C26">
        <v>75</v>
      </c>
      <c r="D26">
        <f t="shared" si="0"/>
        <v>4</v>
      </c>
    </row>
    <row r="27" spans="1:7" s="3" customFormat="1" ht="12.75">
      <c r="A27" s="102" t="s">
        <v>181</v>
      </c>
      <c r="B27" s="99">
        <f>SUM(B18:B26)</f>
        <v>617</v>
      </c>
      <c r="C27" s="3">
        <f>SUM(C18:C26)</f>
        <v>630</v>
      </c>
      <c r="F27" s="26"/>
      <c r="G27" s="26"/>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54"/>
  <sheetViews>
    <sheetView zoomScalePageLayoutView="0" workbookViewId="0" topLeftCell="A1">
      <selection activeCell="C2" sqref="C2"/>
    </sheetView>
  </sheetViews>
  <sheetFormatPr defaultColWidth="9.140625" defaultRowHeight="12.75"/>
  <cols>
    <col min="1" max="1" width="24.8515625" style="0" customWidth="1"/>
    <col min="2" max="2" width="10.28125" style="0" customWidth="1"/>
    <col min="3" max="3" width="14.7109375" style="0" customWidth="1"/>
    <col min="4" max="7" width="10.28125" style="0" customWidth="1"/>
    <col min="8" max="8" width="12.57421875" style="0" customWidth="1"/>
    <col min="9" max="9" width="11.7109375" style="0" customWidth="1"/>
  </cols>
  <sheetData>
    <row r="1" spans="1:5" ht="24.75" customHeight="1">
      <c r="A1" s="104"/>
      <c r="B1" s="104" t="s">
        <v>184</v>
      </c>
      <c r="C1" s="104" t="s">
        <v>183</v>
      </c>
      <c r="D1" s="105" t="s">
        <v>185</v>
      </c>
      <c r="E1" s="104" t="s">
        <v>186</v>
      </c>
    </row>
    <row r="2" spans="1:7" ht="15.75">
      <c r="A2" s="104" t="str">
        <f>'[1]LHV 2018 eelarve pr'!C128</f>
        <v>Paldiski lasteaed Naerulind</v>
      </c>
      <c r="B2" s="106">
        <v>419800</v>
      </c>
      <c r="C2" s="104">
        <f>'Õpilaste ja lasteaialaste arv'!C18</f>
        <v>89</v>
      </c>
      <c r="D2" s="106">
        <f>B2/C2</f>
        <v>4716.853932584269</v>
      </c>
      <c r="E2" s="104"/>
      <c r="G2" s="8"/>
    </row>
    <row r="3" spans="1:7" ht="15.75">
      <c r="A3" s="104" t="str">
        <f>'[1]LHV 2018 eelarve pr'!C129</f>
        <v>Paldiski lasteaed Sipsik</v>
      </c>
      <c r="B3" s="106">
        <v>390000</v>
      </c>
      <c r="C3" s="104">
        <f>'Õpilaste ja lasteaialaste arv'!C19</f>
        <v>83</v>
      </c>
      <c r="D3" s="106">
        <f aca="true" t="shared" si="0" ref="D3:D20">B3/C3</f>
        <v>4698.795180722892</v>
      </c>
      <c r="E3" s="104"/>
      <c r="G3" s="8"/>
    </row>
    <row r="4" spans="1:5" ht="15.75">
      <c r="A4" s="104" t="str">
        <f>'[1]LHV 2018 eelarve pr'!C130</f>
        <v>Klooga lasteaed</v>
      </c>
      <c r="B4" s="106">
        <v>227800</v>
      </c>
      <c r="C4" s="104">
        <f>'Õpilaste ja lasteaialaste arv'!C20</f>
        <v>57</v>
      </c>
      <c r="D4" s="106">
        <f t="shared" si="0"/>
        <v>3996.4912280701756</v>
      </c>
      <c r="E4" s="104"/>
    </row>
    <row r="5" spans="1:5" ht="15.75">
      <c r="A5" s="104" t="str">
        <f>'[1]LHV 2018 eelarve pr'!C131</f>
        <v>Laulasmaa lasteaed</v>
      </c>
      <c r="B5" s="106">
        <v>353000</v>
      </c>
      <c r="C5" s="104">
        <f>'Õpilaste ja lasteaialaste arv'!C21</f>
        <v>124</v>
      </c>
      <c r="D5" s="106">
        <f t="shared" si="0"/>
        <v>2846.7741935483873</v>
      </c>
      <c r="E5" t="s">
        <v>198</v>
      </c>
    </row>
    <row r="6" spans="1:5" ht="15.75">
      <c r="A6" s="104" t="str">
        <f>'[1]LHV 2018 eelarve pr'!C132</f>
        <v>Lehola lasteaed</v>
      </c>
      <c r="B6" s="106">
        <v>235000</v>
      </c>
      <c r="C6" s="104">
        <f>'Õpilaste ja lasteaialaste arv'!C22</f>
        <v>70</v>
      </c>
      <c r="D6" s="106">
        <f t="shared" si="0"/>
        <v>3357.1428571428573</v>
      </c>
      <c r="E6" s="104"/>
    </row>
    <row r="7" spans="1:7" ht="15.75">
      <c r="A7" s="104" t="str">
        <f>'[1]LHV 2018 eelarve pr'!C133</f>
        <v>Padise lasteaed</v>
      </c>
      <c r="B7" s="106">
        <v>272000</v>
      </c>
      <c r="C7" s="104">
        <f>'Õpilaste ja lasteaialaste arv'!C23</f>
        <v>65</v>
      </c>
      <c r="D7" s="106">
        <f t="shared" si="0"/>
        <v>4184.615384615385</v>
      </c>
      <c r="E7" s="104"/>
      <c r="G7" s="8"/>
    </row>
    <row r="8" spans="1:5" ht="15.75">
      <c r="A8" s="104" t="str">
        <f>'[1]LHV 2018 eelarve pr'!C134</f>
        <v>Risti lasteaed</v>
      </c>
      <c r="B8" s="106">
        <v>110000</v>
      </c>
      <c r="C8" s="104">
        <f>'Õpilaste ja lasteaialaste arv'!C24</f>
        <v>31</v>
      </c>
      <c r="D8" s="106">
        <f t="shared" si="0"/>
        <v>3548.3870967741937</v>
      </c>
      <c r="E8" s="104"/>
    </row>
    <row r="9" spans="1:5" ht="15.75">
      <c r="A9" s="104" t="str">
        <f>'[1]LHV 2018 eelarve pr'!C135</f>
        <v>Vasalemma lasteaed</v>
      </c>
      <c r="B9" s="106">
        <v>142900</v>
      </c>
      <c r="C9" s="104">
        <f>'Õpilaste ja lasteaialaste arv'!C25</f>
        <v>36</v>
      </c>
      <c r="D9" s="106">
        <f t="shared" si="0"/>
        <v>3969.4444444444443</v>
      </c>
      <c r="E9" s="104"/>
    </row>
    <row r="10" spans="1:5" ht="15.75">
      <c r="A10" s="104" t="str">
        <f>'[1]LHV 2018 eelarve pr'!C136</f>
        <v>Rummu lasteaed</v>
      </c>
      <c r="B10" s="106">
        <v>313400</v>
      </c>
      <c r="C10" s="104">
        <f>'Õpilaste ja lasteaialaste arv'!C26</f>
        <v>75</v>
      </c>
      <c r="D10" s="106">
        <f t="shared" si="0"/>
        <v>4178.666666666667</v>
      </c>
      <c r="E10" s="104"/>
    </row>
    <row r="11" spans="1:5" ht="15.75">
      <c r="A11" s="104" t="str">
        <f>'[1]LHV 2018 eelarve pr'!C85</f>
        <v>Paldiski Põhikool </v>
      </c>
      <c r="B11" s="106">
        <v>564100</v>
      </c>
      <c r="C11" s="104">
        <f>'Õpilaste ja lasteaialaste arv'!C5</f>
        <v>138</v>
      </c>
      <c r="D11" s="106">
        <f t="shared" si="0"/>
        <v>4087.68115942029</v>
      </c>
      <c r="E11" s="104"/>
    </row>
    <row r="12" spans="1:5" ht="15.75">
      <c r="A12" s="104" t="str">
        <f>'[1]LHV 2018 eelarve pr'!C86</f>
        <v>Paldiski Vene Põhikool</v>
      </c>
      <c r="B12" s="106">
        <v>616900</v>
      </c>
      <c r="C12" s="104">
        <f>'Õpilaste ja lasteaialaste arv'!C6</f>
        <v>221</v>
      </c>
      <c r="D12" s="106">
        <f t="shared" si="0"/>
        <v>2791.402714932127</v>
      </c>
      <c r="E12" s="104"/>
    </row>
    <row r="13" spans="1:7" ht="15.75">
      <c r="A13" s="104" t="str">
        <f>'[1]LHV 2018 eelarve pr'!C87</f>
        <v>Klooga kool</v>
      </c>
      <c r="B13" s="106">
        <v>204900</v>
      </c>
      <c r="C13" s="104">
        <f>'Õpilaste ja lasteaialaste arv'!C11</f>
        <v>47</v>
      </c>
      <c r="D13" s="106">
        <f t="shared" si="0"/>
        <v>4359.574468085107</v>
      </c>
      <c r="E13" s="104"/>
      <c r="G13" s="8"/>
    </row>
    <row r="14" spans="1:5" ht="15.75">
      <c r="A14" s="104" t="str">
        <f>'[1]LHV 2018 eelarve pr'!C88</f>
        <v>Laulasmaa kool</v>
      </c>
      <c r="B14" s="106">
        <v>997400</v>
      </c>
      <c r="C14" s="104">
        <f>'Õpilaste ja lasteaialaste arv'!C3</f>
        <v>276</v>
      </c>
      <c r="D14" s="106">
        <f t="shared" si="0"/>
        <v>3613.768115942029</v>
      </c>
      <c r="E14" s="104"/>
    </row>
    <row r="15" spans="1:5" ht="15.75">
      <c r="A15" s="104" t="str">
        <f>'[1]LHV 2018 eelarve pr'!C89</f>
        <v>Lehola kool</v>
      </c>
      <c r="B15" s="106">
        <v>265500</v>
      </c>
      <c r="C15" s="104">
        <f>'Õpilaste ja lasteaialaste arv'!C12</f>
        <v>54</v>
      </c>
      <c r="D15" s="106">
        <f t="shared" si="0"/>
        <v>4916.666666666667</v>
      </c>
      <c r="E15" s="104"/>
    </row>
    <row r="16" spans="1:5" ht="15.75">
      <c r="A16" s="104" t="str">
        <f>'[1]LHV 2018 eelarve pr'!C90</f>
        <v>Padise Põhikool</v>
      </c>
      <c r="B16" s="106">
        <v>426700</v>
      </c>
      <c r="C16" s="104">
        <v>73</v>
      </c>
      <c r="D16" s="106">
        <f t="shared" si="0"/>
        <v>5845.2054794520545</v>
      </c>
      <c r="E16" s="104"/>
    </row>
    <row r="17" spans="1:5" ht="15.75">
      <c r="A17" s="104" t="str">
        <f>'[1]LHV 2018 eelarve pr'!C91</f>
        <v>Risti Põhikool</v>
      </c>
      <c r="B17" s="106">
        <v>473500</v>
      </c>
      <c r="C17" s="104">
        <f>'Õpilaste ja lasteaialaste arv'!C8</f>
        <v>104</v>
      </c>
      <c r="D17" s="106">
        <f t="shared" si="0"/>
        <v>4552.884615384615</v>
      </c>
      <c r="E17" s="104"/>
    </row>
    <row r="18" spans="1:5" ht="15.75">
      <c r="A18" s="104" t="str">
        <f>'[1]LHV 2018 eelarve pr'!C92</f>
        <v>Vasalemma Põhikool</v>
      </c>
      <c r="B18" s="106">
        <v>581200</v>
      </c>
      <c r="C18" s="104">
        <f>'Õpilaste ja lasteaialaste arv'!C9</f>
        <v>120</v>
      </c>
      <c r="D18" s="106">
        <f t="shared" si="0"/>
        <v>4843.333333333333</v>
      </c>
      <c r="E18" s="104"/>
    </row>
    <row r="19" spans="1:5" ht="15.75">
      <c r="A19" s="104" t="str">
        <f>'[1]LHV 2018 eelarve pr'!C93</f>
        <v>Ämari Põhikool</v>
      </c>
      <c r="B19" s="106"/>
      <c r="C19" s="104"/>
      <c r="D19" s="106"/>
      <c r="E19" s="104"/>
    </row>
    <row r="20" spans="1:5" ht="15.75">
      <c r="A20" s="104" t="str">
        <f>'[1]LHV 2018 eelarve pr'!C95</f>
        <v>Gümnaasium</v>
      </c>
      <c r="B20" s="106">
        <v>243300</v>
      </c>
      <c r="C20" s="104">
        <f>'Õpilaste ja lasteaialaste arv'!C7+'Õpilaste ja lasteaialaste arv'!D7</f>
        <v>73</v>
      </c>
      <c r="D20" s="106">
        <f t="shared" si="0"/>
        <v>3332.876712328767</v>
      </c>
      <c r="E20" s="104"/>
    </row>
    <row r="21" spans="1:5" ht="15.75">
      <c r="A21" s="104" t="s">
        <v>47</v>
      </c>
      <c r="B21" s="106">
        <f>75400+256800</f>
        <v>332200</v>
      </c>
      <c r="C21" s="104"/>
      <c r="D21" s="104"/>
      <c r="E21" s="104"/>
    </row>
    <row r="22" spans="1:5" ht="15.75">
      <c r="A22" s="104" t="s">
        <v>181</v>
      </c>
      <c r="B22" s="106">
        <f>SUM(B2:B21)</f>
        <v>7169600</v>
      </c>
      <c r="C22" s="106">
        <f>SUM(C2:C21)</f>
        <v>1736</v>
      </c>
      <c r="D22" s="104"/>
      <c r="E22" s="104"/>
    </row>
    <row r="26" spans="1:9" ht="61.5" customHeight="1">
      <c r="A26" s="104"/>
      <c r="B26" s="105" t="s">
        <v>188</v>
      </c>
      <c r="C26" s="105" t="s">
        <v>199</v>
      </c>
      <c r="D26" s="105" t="s">
        <v>188</v>
      </c>
      <c r="E26" s="104" t="s">
        <v>183</v>
      </c>
      <c r="F26" s="105" t="s">
        <v>189</v>
      </c>
      <c r="G26" s="104" t="s">
        <v>186</v>
      </c>
      <c r="H26" s="111" t="s">
        <v>200</v>
      </c>
      <c r="I26" s="112" t="s">
        <v>201</v>
      </c>
    </row>
    <row r="27" spans="1:9" ht="15.75">
      <c r="A27" s="104" t="s">
        <v>84</v>
      </c>
      <c r="B27" s="107">
        <f>C27+D27</f>
        <v>91000</v>
      </c>
      <c r="C27" s="106"/>
      <c r="D27" s="106">
        <f aca="true" t="shared" si="1" ref="D27:D32">E27*1000</f>
        <v>91000</v>
      </c>
      <c r="E27" s="104">
        <v>91</v>
      </c>
      <c r="F27" s="106">
        <f>B27/E27</f>
        <v>1000</v>
      </c>
      <c r="G27" s="104"/>
      <c r="H27" s="113"/>
      <c r="I27" s="113"/>
    </row>
    <row r="28" spans="1:9" ht="15.75">
      <c r="A28" s="104" t="s">
        <v>85</v>
      </c>
      <c r="B28" s="107">
        <f aca="true" t="shared" si="2" ref="B28:B40">C28+D28</f>
        <v>83000</v>
      </c>
      <c r="C28" s="106"/>
      <c r="D28" s="106">
        <f t="shared" si="1"/>
        <v>83000</v>
      </c>
      <c r="E28" s="104">
        <f>'Õpilaste ja lasteaialaste arv'!C19</f>
        <v>83</v>
      </c>
      <c r="F28" s="106">
        <f aca="true" t="shared" si="3" ref="F28:F40">B28/E28</f>
        <v>1000</v>
      </c>
      <c r="G28" s="104"/>
      <c r="H28" s="113"/>
      <c r="I28" s="113"/>
    </row>
    <row r="29" spans="1:9" ht="15.75">
      <c r="A29" s="104" t="s">
        <v>86</v>
      </c>
      <c r="B29" s="107">
        <f t="shared" si="2"/>
        <v>86870.784</v>
      </c>
      <c r="C29" s="106">
        <f>2074.36*1.2*12</f>
        <v>29870.784</v>
      </c>
      <c r="D29" s="106">
        <f t="shared" si="1"/>
        <v>57000</v>
      </c>
      <c r="E29" s="104">
        <f>'Õpilaste ja lasteaialaste arv'!C20</f>
        <v>57</v>
      </c>
      <c r="F29" s="106">
        <f t="shared" si="3"/>
        <v>1524.0488421052632</v>
      </c>
      <c r="G29" s="104"/>
      <c r="H29" s="113"/>
      <c r="I29" s="113"/>
    </row>
    <row r="30" spans="1:9" ht="15.75">
      <c r="A30" s="104" t="s">
        <v>190</v>
      </c>
      <c r="B30" s="107">
        <f t="shared" si="2"/>
        <v>455650.24</v>
      </c>
      <c r="C30" s="106">
        <f>3864.6*1.2*12</f>
        <v>55650.23999999999</v>
      </c>
      <c r="D30" s="106">
        <f t="shared" si="1"/>
        <v>400000</v>
      </c>
      <c r="E30" s="104">
        <f>'Õpilaste ja lasteaialaste arv'!C21+'Õpilaste ja lasteaialaste arv'!C3</f>
        <v>400</v>
      </c>
      <c r="F30" s="106">
        <f t="shared" si="3"/>
        <v>1139.1256</v>
      </c>
      <c r="G30" s="104"/>
      <c r="H30" s="113"/>
      <c r="I30" s="113"/>
    </row>
    <row r="31" spans="1:9" ht="15.75">
      <c r="A31" s="104" t="s">
        <v>212</v>
      </c>
      <c r="B31" s="107">
        <f t="shared" si="2"/>
        <v>124000</v>
      </c>
      <c r="C31" s="106"/>
      <c r="D31" s="106">
        <f t="shared" si="1"/>
        <v>124000</v>
      </c>
      <c r="E31" s="104">
        <f>'Õpilaste ja lasteaialaste arv'!C22+'Õpilaste ja lasteaialaste arv'!C12</f>
        <v>124</v>
      </c>
      <c r="F31" s="106">
        <f t="shared" si="3"/>
        <v>1000</v>
      </c>
      <c r="G31" s="104"/>
      <c r="H31" s="113"/>
      <c r="I31" s="113"/>
    </row>
    <row r="32" spans="1:9" ht="15.75">
      <c r="A32" s="104" t="s">
        <v>154</v>
      </c>
      <c r="B32" s="107">
        <f t="shared" si="2"/>
        <v>65000</v>
      </c>
      <c r="C32" s="106"/>
      <c r="D32" s="106">
        <f t="shared" si="1"/>
        <v>65000</v>
      </c>
      <c r="E32" s="104">
        <f>'Õpilaste ja lasteaialaste arv'!C23</f>
        <v>65</v>
      </c>
      <c r="F32" s="106">
        <f t="shared" si="3"/>
        <v>1000</v>
      </c>
      <c r="G32" s="104"/>
      <c r="H32" s="113"/>
      <c r="I32" s="113"/>
    </row>
    <row r="33" spans="1:9" ht="15.75">
      <c r="A33" s="104" t="s">
        <v>103</v>
      </c>
      <c r="B33" s="107">
        <f t="shared" si="2"/>
        <v>36000</v>
      </c>
      <c r="C33" s="106"/>
      <c r="D33" s="106">
        <f aca="true" t="shared" si="4" ref="D33:D40">E33*1000</f>
        <v>36000</v>
      </c>
      <c r="E33" s="104">
        <f>'Õpilaste ja lasteaialaste arv'!C25</f>
        <v>36</v>
      </c>
      <c r="F33" s="106">
        <f t="shared" si="3"/>
        <v>1000</v>
      </c>
      <c r="G33" s="104"/>
      <c r="H33" s="113"/>
      <c r="I33" s="113"/>
    </row>
    <row r="34" spans="1:9" ht="15.75">
      <c r="A34" s="104" t="s">
        <v>104</v>
      </c>
      <c r="B34" s="107">
        <f t="shared" si="2"/>
        <v>75000</v>
      </c>
      <c r="C34" s="106"/>
      <c r="D34" s="106">
        <f t="shared" si="4"/>
        <v>75000</v>
      </c>
      <c r="E34" s="104">
        <f>'Õpilaste ja lasteaialaste arv'!C26</f>
        <v>75</v>
      </c>
      <c r="F34" s="106">
        <f t="shared" si="3"/>
        <v>1000</v>
      </c>
      <c r="G34" s="104"/>
      <c r="H34" s="113"/>
      <c r="I34" s="113"/>
    </row>
    <row r="35" spans="1:9" ht="31.5">
      <c r="A35" s="105" t="s">
        <v>191</v>
      </c>
      <c r="B35" s="107">
        <f t="shared" si="2"/>
        <v>193000</v>
      </c>
      <c r="C35" s="106"/>
      <c r="D35" s="106">
        <f t="shared" si="4"/>
        <v>193000</v>
      </c>
      <c r="E35" s="104">
        <f>'Õpilaste ja lasteaialaste arv'!C7+'Õpilaste ja lasteaialaste arv'!C5</f>
        <v>193</v>
      </c>
      <c r="F35" s="106">
        <f t="shared" si="3"/>
        <v>1000</v>
      </c>
      <c r="G35" s="104"/>
      <c r="H35" s="113">
        <v>200</v>
      </c>
      <c r="I35" s="38">
        <f>C11/H35*100</f>
        <v>69</v>
      </c>
    </row>
    <row r="36" spans="1:9" ht="15.75">
      <c r="A36" s="104" t="s">
        <v>70</v>
      </c>
      <c r="B36" s="107">
        <f t="shared" si="2"/>
        <v>221000</v>
      </c>
      <c r="C36" s="106"/>
      <c r="D36" s="106">
        <f t="shared" si="4"/>
        <v>221000</v>
      </c>
      <c r="E36" s="104">
        <f>'Õpilaste ja lasteaialaste arv'!C6</f>
        <v>221</v>
      </c>
      <c r="F36" s="106">
        <f t="shared" si="3"/>
        <v>1000</v>
      </c>
      <c r="G36" s="104"/>
      <c r="H36" s="113">
        <v>624</v>
      </c>
      <c r="I36" s="38">
        <f>E36/H36*100</f>
        <v>35.41666666666667</v>
      </c>
    </row>
    <row r="37" spans="1:9" ht="15.75">
      <c r="A37" s="104" t="s">
        <v>89</v>
      </c>
      <c r="B37" s="107">
        <f t="shared" si="2"/>
        <v>75200</v>
      </c>
      <c r="C37" s="106">
        <f>D37*0.6</f>
        <v>28200</v>
      </c>
      <c r="D37" s="106">
        <f>E37*1000</f>
        <v>47000</v>
      </c>
      <c r="E37" s="104">
        <f>'Õpilaste ja lasteaialaste arv'!C11</f>
        <v>47</v>
      </c>
      <c r="F37" s="106">
        <f>B37/E37</f>
        <v>1600</v>
      </c>
      <c r="G37" s="104" t="s">
        <v>187</v>
      </c>
      <c r="H37" s="113">
        <v>168</v>
      </c>
      <c r="I37" s="38">
        <f>E37/H37*100</f>
        <v>27.976190476190478</v>
      </c>
    </row>
    <row r="38" spans="1:9" ht="15.75">
      <c r="A38" s="104" t="s">
        <v>114</v>
      </c>
      <c r="B38" s="107">
        <f>C38+D38</f>
        <v>116800</v>
      </c>
      <c r="C38" s="106">
        <f>D38*0.6</f>
        <v>43800</v>
      </c>
      <c r="D38" s="106">
        <f t="shared" si="4"/>
        <v>73000</v>
      </c>
      <c r="E38" s="104">
        <v>73</v>
      </c>
      <c r="F38" s="106">
        <f t="shared" si="3"/>
        <v>1600</v>
      </c>
      <c r="G38" s="104" t="s">
        <v>187</v>
      </c>
      <c r="H38" s="113">
        <v>216</v>
      </c>
      <c r="I38" s="38">
        <f>E38/H38*100</f>
        <v>33.7962962962963</v>
      </c>
    </row>
    <row r="39" spans="1:9" ht="15.75">
      <c r="A39" s="104" t="s">
        <v>192</v>
      </c>
      <c r="B39" s="107">
        <f t="shared" si="2"/>
        <v>227810.88</v>
      </c>
      <c r="C39" s="106">
        <f>7734.24*12</f>
        <v>92810.88</v>
      </c>
      <c r="D39" s="106">
        <f t="shared" si="4"/>
        <v>135000</v>
      </c>
      <c r="E39" s="104">
        <f>'Õpilaste ja lasteaialaste arv'!C8+'Õpilaste ja lasteaialaste arv'!C24</f>
        <v>135</v>
      </c>
      <c r="F39" s="106">
        <f t="shared" si="3"/>
        <v>1687.488</v>
      </c>
      <c r="G39" s="104"/>
      <c r="H39" s="113">
        <v>135</v>
      </c>
      <c r="I39" s="38">
        <f>C17/H39*100</f>
        <v>77.03703703703704</v>
      </c>
    </row>
    <row r="40" spans="1:9" ht="15.75">
      <c r="A40" s="104" t="s">
        <v>106</v>
      </c>
      <c r="B40" s="107">
        <f t="shared" si="2"/>
        <v>120000</v>
      </c>
      <c r="C40" s="106"/>
      <c r="D40" s="106">
        <f t="shared" si="4"/>
        <v>120000</v>
      </c>
      <c r="E40" s="104">
        <f>'Õpilaste ja lasteaialaste arv'!C9</f>
        <v>120</v>
      </c>
      <c r="F40" s="106">
        <f t="shared" si="3"/>
        <v>1000</v>
      </c>
      <c r="G40" s="104"/>
      <c r="H40" s="113">
        <v>172</v>
      </c>
      <c r="I40" s="38">
        <f>E40/H40*100</f>
        <v>69.76744186046511</v>
      </c>
    </row>
    <row r="41" spans="1:9" ht="15.75">
      <c r="A41" s="104" t="s">
        <v>181</v>
      </c>
      <c r="B41" s="106">
        <f>SUM(B27:B40)</f>
        <v>1970331.904</v>
      </c>
      <c r="C41" s="106"/>
      <c r="D41" s="106"/>
      <c r="E41" s="106">
        <f>SUM(E27:E40)</f>
        <v>1720</v>
      </c>
      <c r="F41" s="104"/>
      <c r="G41" s="104"/>
      <c r="H41" s="113"/>
      <c r="I41" s="113"/>
    </row>
    <row r="45" spans="1:5" ht="12.75">
      <c r="A45" t="s">
        <v>262</v>
      </c>
      <c r="B45" t="s">
        <v>261</v>
      </c>
      <c r="C45">
        <v>6</v>
      </c>
      <c r="D45" s="9">
        <v>1541.3760000000002</v>
      </c>
      <c r="E45">
        <v>1600</v>
      </c>
    </row>
    <row r="46" spans="1:5" ht="12.75">
      <c r="A46" t="s">
        <v>263</v>
      </c>
      <c r="B46" t="s">
        <v>261</v>
      </c>
      <c r="C46">
        <v>5</v>
      </c>
      <c r="D46" s="9">
        <v>1284.48</v>
      </c>
      <c r="E46">
        <v>1300</v>
      </c>
    </row>
    <row r="47" spans="1:5" ht="12.75">
      <c r="A47" t="s">
        <v>264</v>
      </c>
      <c r="B47" t="s">
        <v>261</v>
      </c>
      <c r="C47">
        <v>4</v>
      </c>
      <c r="D47" s="9">
        <v>1027.584</v>
      </c>
      <c r="E47">
        <v>1100</v>
      </c>
    </row>
    <row r="48" spans="1:5" ht="12.75">
      <c r="A48" t="s">
        <v>265</v>
      </c>
      <c r="B48" t="s">
        <v>261</v>
      </c>
      <c r="C48">
        <v>5</v>
      </c>
      <c r="D48" s="9">
        <v>1284.48</v>
      </c>
      <c r="E48">
        <v>1300</v>
      </c>
    </row>
    <row r="49" spans="1:5" ht="12.75">
      <c r="A49" t="s">
        <v>266</v>
      </c>
      <c r="B49" t="s">
        <v>261</v>
      </c>
      <c r="C49">
        <v>2</v>
      </c>
      <c r="D49" s="9">
        <v>513.792</v>
      </c>
      <c r="E49">
        <v>600</v>
      </c>
    </row>
    <row r="50" spans="1:5" ht="12.75">
      <c r="A50" t="s">
        <v>267</v>
      </c>
      <c r="B50" t="s">
        <v>261</v>
      </c>
      <c r="C50">
        <v>5</v>
      </c>
      <c r="D50" s="9">
        <v>1284.48</v>
      </c>
      <c r="E50">
        <v>1300</v>
      </c>
    </row>
    <row r="51" spans="1:5" ht="12.75">
      <c r="A51" t="s">
        <v>268</v>
      </c>
      <c r="B51" t="s">
        <v>261</v>
      </c>
      <c r="C51">
        <v>4.75</v>
      </c>
      <c r="D51" s="9">
        <v>1220.256</v>
      </c>
      <c r="E51">
        <v>1300</v>
      </c>
    </row>
    <row r="52" spans="1:5" ht="12.75">
      <c r="A52" t="s">
        <v>269</v>
      </c>
      <c r="B52" t="s">
        <v>261</v>
      </c>
      <c r="C52">
        <v>3</v>
      </c>
      <c r="D52" s="9">
        <v>770.6880000000001</v>
      </c>
      <c r="E52">
        <v>800</v>
      </c>
    </row>
    <row r="53" spans="1:5" ht="12.75">
      <c r="A53" t="s">
        <v>179</v>
      </c>
      <c r="B53" t="s">
        <v>261</v>
      </c>
      <c r="C53">
        <v>2</v>
      </c>
      <c r="D53" s="9">
        <v>513.792</v>
      </c>
      <c r="E53">
        <v>600</v>
      </c>
    </row>
    <row r="54" spans="4:5" ht="12.75">
      <c r="D54" s="9">
        <v>9440.928000000002</v>
      </c>
      <c r="E54">
        <v>9900</v>
      </c>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73"/>
  <sheetViews>
    <sheetView zoomScalePageLayoutView="0" workbookViewId="0" topLeftCell="A31">
      <selection activeCell="E61" sqref="E61"/>
    </sheetView>
  </sheetViews>
  <sheetFormatPr defaultColWidth="9.140625" defaultRowHeight="12.75"/>
  <cols>
    <col min="1" max="1" width="54.7109375" style="0" customWidth="1"/>
    <col min="2" max="2" width="18.00390625" style="94" customWidth="1"/>
    <col min="3" max="3" width="14.8515625" style="94" customWidth="1"/>
    <col min="4" max="4" width="10.140625" style="0" customWidth="1"/>
    <col min="6" max="6" width="10.8515625" style="0" customWidth="1"/>
    <col min="7" max="7" width="13.140625" style="0" customWidth="1"/>
    <col min="8" max="9" width="9.140625" style="0" customWidth="1"/>
  </cols>
  <sheetData>
    <row r="1" ht="15.75">
      <c r="A1" s="1" t="s">
        <v>168</v>
      </c>
    </row>
    <row r="3" spans="1:3" ht="12.75">
      <c r="A3" s="48"/>
      <c r="B3" s="38"/>
      <c r="C3" s="96"/>
    </row>
    <row r="4" spans="1:3" ht="12.75">
      <c r="A4" s="123" t="s">
        <v>208</v>
      </c>
      <c r="B4" s="124"/>
      <c r="C4"/>
    </row>
    <row r="5" spans="1:3" ht="12.75">
      <c r="A5" s="68"/>
      <c r="B5" s="38"/>
      <c r="C5"/>
    </row>
    <row r="6" spans="1:3" ht="12.75">
      <c r="A6" s="32" t="s">
        <v>42</v>
      </c>
      <c r="B6" s="38" t="e">
        <f>SUM(B7:B16)</f>
        <v>#REF!</v>
      </c>
      <c r="C6"/>
    </row>
    <row r="7" spans="1:3" ht="12.75">
      <c r="A7" s="64" t="s">
        <v>84</v>
      </c>
      <c r="B7" s="66">
        <f>'LHV 2020 eelarve pr'!F129</f>
        <v>91000</v>
      </c>
      <c r="C7"/>
    </row>
    <row r="8" spans="1:3" ht="12.75">
      <c r="A8" s="64" t="s">
        <v>85</v>
      </c>
      <c r="B8" s="66">
        <f>'LHV 2020 eelarve pr'!F130</f>
        <v>83000</v>
      </c>
      <c r="C8"/>
    </row>
    <row r="9" spans="1:3" ht="12.75">
      <c r="A9" s="64" t="s">
        <v>86</v>
      </c>
      <c r="B9" s="66">
        <f>'LHV 2020 eelarve pr'!F131</f>
        <v>86870.784</v>
      </c>
      <c r="C9"/>
    </row>
    <row r="10" spans="1:3" ht="12.75">
      <c r="A10" s="64" t="s">
        <v>88</v>
      </c>
      <c r="B10" s="66">
        <f>'LHV 2020 eelarve pr'!F132</f>
        <v>141650.24</v>
      </c>
      <c r="C10"/>
    </row>
    <row r="11" spans="1:3" ht="12.75">
      <c r="A11" s="64" t="s">
        <v>87</v>
      </c>
      <c r="B11" s="66">
        <f>'LHV 2020 eelarve pr'!F133</f>
        <v>87400</v>
      </c>
      <c r="C11"/>
    </row>
    <row r="12" spans="1:3" ht="12.75">
      <c r="A12" s="64" t="s">
        <v>154</v>
      </c>
      <c r="B12" s="66">
        <f>'LHV 2020 eelarve pr'!F134</f>
        <v>65000</v>
      </c>
      <c r="C12"/>
    </row>
    <row r="13" spans="1:3" ht="12.75">
      <c r="A13" s="64" t="s">
        <v>151</v>
      </c>
      <c r="B13" s="66">
        <f>'LHV 2020 eelarve pr'!F135</f>
        <v>127810.88</v>
      </c>
      <c r="C13"/>
    </row>
    <row r="14" spans="1:3" ht="12.75">
      <c r="A14" s="64" t="s">
        <v>103</v>
      </c>
      <c r="B14" s="66">
        <f>'LHV 2020 eelarve pr'!F136</f>
        <v>36000</v>
      </c>
      <c r="C14"/>
    </row>
    <row r="15" spans="1:3" ht="12.75">
      <c r="A15" s="64" t="s">
        <v>104</v>
      </c>
      <c r="B15" s="66" t="e">
        <f>'LHV 2020 eelarve pr'!#REF!</f>
        <v>#REF!</v>
      </c>
      <c r="C15"/>
    </row>
    <row r="16" spans="1:3" ht="12.75">
      <c r="A16" s="64" t="s">
        <v>43</v>
      </c>
      <c r="B16" s="65">
        <v>190000</v>
      </c>
      <c r="C16"/>
    </row>
    <row r="17" spans="1:3" ht="12.75">
      <c r="A17" s="32" t="s">
        <v>63</v>
      </c>
      <c r="B17" s="38">
        <f>SUM(B18:B26)</f>
        <v>1624376.5</v>
      </c>
      <c r="C17"/>
    </row>
    <row r="18" spans="1:3" ht="12.75">
      <c r="A18" s="64" t="s">
        <v>162</v>
      </c>
      <c r="B18" s="65">
        <f>'LHV 2020 eelarve pr'!F142</f>
        <v>193000</v>
      </c>
      <c r="C18"/>
    </row>
    <row r="19" spans="1:3" ht="12.75">
      <c r="A19" s="64" t="s">
        <v>161</v>
      </c>
      <c r="B19" s="65">
        <f>'LHV 2020 eelarve pr'!F143</f>
        <v>221000</v>
      </c>
      <c r="C19"/>
    </row>
    <row r="20" spans="1:3" ht="12.75">
      <c r="A20" s="64" t="s">
        <v>89</v>
      </c>
      <c r="B20" s="65">
        <f>'LHV 2020 eelarve pr'!F144</f>
        <v>75200</v>
      </c>
      <c r="C20"/>
    </row>
    <row r="21" spans="1:3" ht="12.75">
      <c r="A21" s="64" t="s">
        <v>90</v>
      </c>
      <c r="B21" s="65">
        <f>'LHV 2020 eelarve pr'!F145</f>
        <v>318000</v>
      </c>
      <c r="C21"/>
    </row>
    <row r="22" spans="1:3" ht="12.75">
      <c r="A22" s="64" t="s">
        <v>91</v>
      </c>
      <c r="B22" s="65">
        <f>'LHV 2020 eelarve pr'!F146</f>
        <v>36600</v>
      </c>
      <c r="C22"/>
    </row>
    <row r="23" spans="1:3" ht="12.75">
      <c r="A23" s="64" t="s">
        <v>114</v>
      </c>
      <c r="B23" s="65">
        <f>'LHV 2020 eelarve pr'!F147</f>
        <v>116800</v>
      </c>
      <c r="C23"/>
    </row>
    <row r="24" spans="1:3" ht="12.75">
      <c r="A24" s="64" t="s">
        <v>115</v>
      </c>
      <c r="B24" s="65">
        <f>'LHV 2020 eelarve pr'!F148</f>
        <v>100000</v>
      </c>
      <c r="C24"/>
    </row>
    <row r="25" spans="1:3" ht="12.75">
      <c r="A25" s="64" t="s">
        <v>106</v>
      </c>
      <c r="B25" s="65">
        <f>'LHV 2020 eelarve pr'!F149</f>
        <v>120000</v>
      </c>
      <c r="C25"/>
    </row>
    <row r="26" spans="1:3" ht="12.75">
      <c r="A26" s="64" t="s">
        <v>43</v>
      </c>
      <c r="B26" s="65">
        <v>443776.5</v>
      </c>
      <c r="C26"/>
    </row>
    <row r="29" spans="1:3" ht="12.75">
      <c r="A29" s="103" t="s">
        <v>214</v>
      </c>
      <c r="B29" s="99" t="s">
        <v>209</v>
      </c>
      <c r="C29" s="99" t="s">
        <v>210</v>
      </c>
    </row>
    <row r="30" spans="1:3" ht="12.75">
      <c r="A30" s="118" t="s">
        <v>176</v>
      </c>
      <c r="B30" s="119">
        <v>280</v>
      </c>
      <c r="C30" s="113">
        <f>'Õpilaste ja lasteaialaste arv'!C3</f>
        <v>276</v>
      </c>
    </row>
    <row r="31" spans="1:3" ht="12.75">
      <c r="A31" s="118" t="s">
        <v>114</v>
      </c>
      <c r="B31" s="119">
        <v>61</v>
      </c>
      <c r="C31" s="113">
        <f>'Õpilaste ja lasteaialaste arv'!C4</f>
        <v>73</v>
      </c>
    </row>
    <row r="32" spans="1:3" ht="12.75">
      <c r="A32" s="118" t="s">
        <v>177</v>
      </c>
      <c r="B32" s="119">
        <v>136</v>
      </c>
      <c r="C32" s="113">
        <f>'Õpilaste ja lasteaialaste arv'!C5</f>
        <v>138</v>
      </c>
    </row>
    <row r="33" spans="1:3" ht="12.75">
      <c r="A33" s="118" t="s">
        <v>70</v>
      </c>
      <c r="B33" s="119">
        <v>192</v>
      </c>
      <c r="C33" s="113">
        <f>'Õpilaste ja lasteaialaste arv'!C6</f>
        <v>221</v>
      </c>
    </row>
    <row r="34" spans="1:4" ht="12.75">
      <c r="A34" s="118" t="s">
        <v>178</v>
      </c>
      <c r="B34" s="119">
        <v>102</v>
      </c>
      <c r="C34" s="113">
        <f>'Õpilaste ja lasteaialaste arv'!C7</f>
        <v>55</v>
      </c>
      <c r="D34">
        <v>18</v>
      </c>
    </row>
    <row r="35" spans="1:3" ht="12.75">
      <c r="A35" s="118" t="s">
        <v>179</v>
      </c>
      <c r="B35" s="119">
        <v>96</v>
      </c>
      <c r="C35" s="113">
        <f>'Õpilaste ja lasteaialaste arv'!C8</f>
        <v>104</v>
      </c>
    </row>
    <row r="36" spans="1:3" ht="12.75">
      <c r="A36" s="118" t="s">
        <v>106</v>
      </c>
      <c r="B36" s="119">
        <v>119</v>
      </c>
      <c r="C36" s="113">
        <f>'Õpilaste ja lasteaialaste arv'!C9</f>
        <v>120</v>
      </c>
    </row>
    <row r="37" spans="1:3" ht="12.75">
      <c r="A37" s="118" t="s">
        <v>107</v>
      </c>
      <c r="B37" s="119">
        <v>40</v>
      </c>
      <c r="C37" s="113">
        <f>'Õpilaste ja lasteaialaste arv'!C10</f>
        <v>0</v>
      </c>
    </row>
    <row r="38" spans="1:3" ht="12.75">
      <c r="A38" s="118" t="s">
        <v>89</v>
      </c>
      <c r="B38" s="119">
        <v>45</v>
      </c>
      <c r="C38" s="113">
        <f>'Õpilaste ja lasteaialaste arv'!C11</f>
        <v>47</v>
      </c>
    </row>
    <row r="39" spans="1:3" ht="12.75">
      <c r="A39" s="118" t="s">
        <v>180</v>
      </c>
      <c r="B39" s="119">
        <v>54</v>
      </c>
      <c r="C39" s="113">
        <f>'Õpilaste ja lasteaialaste arv'!C12</f>
        <v>54</v>
      </c>
    </row>
    <row r="40" spans="1:3" ht="12.75">
      <c r="A40" s="97" t="s">
        <v>181</v>
      </c>
      <c r="B40" s="98">
        <v>1125</v>
      </c>
      <c r="C40" s="120">
        <f>SUM(C30:C39)</f>
        <v>1088</v>
      </c>
    </row>
    <row r="41" spans="2:3" ht="12.75">
      <c r="B41"/>
      <c r="C41"/>
    </row>
    <row r="42" spans="2:3" ht="12.75">
      <c r="B42"/>
      <c r="C42"/>
    </row>
    <row r="43" spans="2:3" ht="12.75">
      <c r="B43"/>
      <c r="C43"/>
    </row>
    <row r="44" spans="1:3" ht="12.75">
      <c r="A44" s="99" t="s">
        <v>182</v>
      </c>
      <c r="B44" s="99" t="s">
        <v>209</v>
      </c>
      <c r="C44" s="99" t="s">
        <v>210</v>
      </c>
    </row>
    <row r="45" spans="1:3" ht="12.75">
      <c r="A45" s="69" t="s">
        <v>84</v>
      </c>
      <c r="B45" s="113">
        <v>83</v>
      </c>
      <c r="C45" s="113">
        <f>'Õpilaste ja lasteaialaste arv'!C18</f>
        <v>89</v>
      </c>
    </row>
    <row r="46" spans="1:3" ht="12.75">
      <c r="A46" s="69" t="s">
        <v>85</v>
      </c>
      <c r="B46" s="113">
        <v>69</v>
      </c>
      <c r="C46" s="113">
        <f>'Õpilaste ja lasteaialaste arv'!C19</f>
        <v>83</v>
      </c>
    </row>
    <row r="47" spans="1:3" ht="12.75">
      <c r="A47" s="121" t="s">
        <v>86</v>
      </c>
      <c r="B47" s="113">
        <v>57</v>
      </c>
      <c r="C47" s="113">
        <f>'Õpilaste ja lasteaialaste arv'!C20</f>
        <v>57</v>
      </c>
    </row>
    <row r="48" spans="1:3" ht="12.75">
      <c r="A48" s="121" t="s">
        <v>88</v>
      </c>
      <c r="B48" s="113">
        <v>125</v>
      </c>
      <c r="C48" s="113">
        <f>'Õpilaste ja lasteaialaste arv'!C21</f>
        <v>124</v>
      </c>
    </row>
    <row r="49" spans="1:3" ht="12.75">
      <c r="A49" s="121" t="s">
        <v>87</v>
      </c>
      <c r="B49" s="113">
        <v>70</v>
      </c>
      <c r="C49" s="113">
        <f>'Õpilaste ja lasteaialaste arv'!C22</f>
        <v>70</v>
      </c>
    </row>
    <row r="50" spans="1:3" ht="12.75">
      <c r="A50" s="121" t="s">
        <v>154</v>
      </c>
      <c r="B50" s="113">
        <v>54</v>
      </c>
      <c r="C50" s="113">
        <f>'Õpilaste ja lasteaialaste arv'!C23</f>
        <v>65</v>
      </c>
    </row>
    <row r="51" spans="1:3" ht="12.75">
      <c r="A51" s="121" t="s">
        <v>151</v>
      </c>
      <c r="B51" s="113">
        <v>38</v>
      </c>
      <c r="C51" s="113">
        <f>'Õpilaste ja lasteaialaste arv'!C24</f>
        <v>31</v>
      </c>
    </row>
    <row r="52" spans="1:3" ht="12.75">
      <c r="A52" s="121" t="s">
        <v>103</v>
      </c>
      <c r="B52" s="113">
        <v>34</v>
      </c>
      <c r="C52" s="113">
        <f>'Õpilaste ja lasteaialaste arv'!C25</f>
        <v>36</v>
      </c>
    </row>
    <row r="53" spans="1:3" ht="12.75">
      <c r="A53" s="121" t="s">
        <v>104</v>
      </c>
      <c r="B53" s="113">
        <v>79</v>
      </c>
      <c r="C53" s="113">
        <f>'Õpilaste ja lasteaialaste arv'!C26</f>
        <v>75</v>
      </c>
    </row>
    <row r="54" spans="1:3" ht="12.75">
      <c r="A54" s="102" t="s">
        <v>181</v>
      </c>
      <c r="B54" s="99">
        <f>SUM(B45:B53)</f>
        <v>609</v>
      </c>
      <c r="C54" s="99">
        <f>SUM(C45:C53)</f>
        <v>630</v>
      </c>
    </row>
    <row r="58" spans="1:9" ht="63">
      <c r="A58" s="126"/>
      <c r="B58" s="127" t="s">
        <v>188</v>
      </c>
      <c r="C58" s="127" t="s">
        <v>199</v>
      </c>
      <c r="D58" s="127" t="s">
        <v>213</v>
      </c>
      <c r="E58" s="128" t="s">
        <v>183</v>
      </c>
      <c r="F58" s="127" t="s">
        <v>215</v>
      </c>
      <c r="G58" s="128" t="s">
        <v>186</v>
      </c>
      <c r="H58" s="111" t="s">
        <v>200</v>
      </c>
      <c r="I58" s="112" t="s">
        <v>201</v>
      </c>
    </row>
    <row r="59" spans="1:9" ht="12.75">
      <c r="A59" s="32" t="s">
        <v>84</v>
      </c>
      <c r="B59" s="95">
        <f>C59+D59</f>
        <v>89000</v>
      </c>
      <c r="C59" s="37"/>
      <c r="D59" s="37">
        <f aca="true" t="shared" si="0" ref="D59:D72">E59*1000</f>
        <v>89000</v>
      </c>
      <c r="E59" s="32">
        <f>C45</f>
        <v>89</v>
      </c>
      <c r="F59" s="37">
        <f>B59/E59</f>
        <v>1000</v>
      </c>
      <c r="G59" s="32"/>
      <c r="H59" s="113"/>
      <c r="I59" s="113"/>
    </row>
    <row r="60" spans="1:9" ht="12.75">
      <c r="A60" s="32" t="s">
        <v>85</v>
      </c>
      <c r="B60" s="95">
        <f aca="true" t="shared" si="1" ref="B60:B72">C60+D60</f>
        <v>83000</v>
      </c>
      <c r="C60" s="37"/>
      <c r="D60" s="37">
        <f t="shared" si="0"/>
        <v>83000</v>
      </c>
      <c r="E60" s="32">
        <f>C46</f>
        <v>83</v>
      </c>
      <c r="F60" s="37">
        <f aca="true" t="shared" si="2" ref="F60:F72">B60/E60</f>
        <v>1000</v>
      </c>
      <c r="G60" s="32"/>
      <c r="H60" s="113"/>
      <c r="I60" s="113"/>
    </row>
    <row r="61" spans="1:9" ht="12.75">
      <c r="A61" s="32" t="s">
        <v>86</v>
      </c>
      <c r="B61" s="95">
        <f t="shared" si="1"/>
        <v>86870.784</v>
      </c>
      <c r="C61" s="37">
        <f>2074.36*1.2*12</f>
        <v>29870.784</v>
      </c>
      <c r="D61" s="37">
        <f t="shared" si="0"/>
        <v>57000</v>
      </c>
      <c r="E61" s="32">
        <f>C47</f>
        <v>57</v>
      </c>
      <c r="F61" s="37">
        <f t="shared" si="2"/>
        <v>1524.0488421052632</v>
      </c>
      <c r="G61" s="32" t="s">
        <v>211</v>
      </c>
      <c r="H61" s="113"/>
      <c r="I61" s="113"/>
    </row>
    <row r="62" spans="1:9" ht="12.75">
      <c r="A62" s="32" t="s">
        <v>190</v>
      </c>
      <c r="B62" s="95">
        <f t="shared" si="1"/>
        <v>455650.24</v>
      </c>
      <c r="C62" s="37">
        <f>3864.6*1.2*12</f>
        <v>55650.23999999999</v>
      </c>
      <c r="D62" s="37">
        <f t="shared" si="0"/>
        <v>400000</v>
      </c>
      <c r="E62" s="32">
        <f>C48+C30</f>
        <v>400</v>
      </c>
      <c r="F62" s="37">
        <f t="shared" si="2"/>
        <v>1139.1256</v>
      </c>
      <c r="G62" s="32" t="s">
        <v>211</v>
      </c>
      <c r="H62" s="113"/>
      <c r="I62" s="113"/>
    </row>
    <row r="63" spans="1:9" ht="12.75">
      <c r="A63" s="32" t="s">
        <v>87</v>
      </c>
      <c r="B63" s="95">
        <f t="shared" si="1"/>
        <v>124000</v>
      </c>
      <c r="C63" s="37"/>
      <c r="D63" s="37">
        <f t="shared" si="0"/>
        <v>124000</v>
      </c>
      <c r="E63" s="32">
        <f>C49+C39</f>
        <v>124</v>
      </c>
      <c r="F63" s="37">
        <f t="shared" si="2"/>
        <v>1000</v>
      </c>
      <c r="G63" s="32"/>
      <c r="H63" s="113"/>
      <c r="I63" s="113"/>
    </row>
    <row r="64" spans="1:9" ht="12.75">
      <c r="A64" s="32" t="s">
        <v>154</v>
      </c>
      <c r="B64" s="95">
        <f t="shared" si="1"/>
        <v>65000</v>
      </c>
      <c r="C64" s="37"/>
      <c r="D64" s="37">
        <f t="shared" si="0"/>
        <v>65000</v>
      </c>
      <c r="E64" s="32">
        <f>C50</f>
        <v>65</v>
      </c>
      <c r="F64" s="37">
        <f t="shared" si="2"/>
        <v>1000</v>
      </c>
      <c r="G64" s="32"/>
      <c r="H64" s="113"/>
      <c r="I64" s="113"/>
    </row>
    <row r="65" spans="1:9" ht="12.75">
      <c r="A65" s="32" t="s">
        <v>103</v>
      </c>
      <c r="B65" s="95">
        <f t="shared" si="1"/>
        <v>36000</v>
      </c>
      <c r="C65" s="37"/>
      <c r="D65" s="37">
        <f t="shared" si="0"/>
        <v>36000</v>
      </c>
      <c r="E65" s="32">
        <f>C52</f>
        <v>36</v>
      </c>
      <c r="F65" s="37">
        <f t="shared" si="2"/>
        <v>1000</v>
      </c>
      <c r="G65" s="32"/>
      <c r="H65" s="113"/>
      <c r="I65" s="113"/>
    </row>
    <row r="66" spans="1:9" ht="12.75">
      <c r="A66" s="32" t="s">
        <v>104</v>
      </c>
      <c r="B66" s="95">
        <f t="shared" si="1"/>
        <v>75000</v>
      </c>
      <c r="C66" s="37"/>
      <c r="D66" s="37">
        <f t="shared" si="0"/>
        <v>75000</v>
      </c>
      <c r="E66" s="32">
        <f>C53</f>
        <v>75</v>
      </c>
      <c r="F66" s="37">
        <f t="shared" si="2"/>
        <v>1000</v>
      </c>
      <c r="G66" s="32"/>
      <c r="H66" s="113"/>
      <c r="I66" s="113"/>
    </row>
    <row r="67" spans="1:9" ht="12.75">
      <c r="A67" s="125" t="s">
        <v>191</v>
      </c>
      <c r="B67" s="95">
        <f t="shared" si="1"/>
        <v>193000</v>
      </c>
      <c r="C67" s="37"/>
      <c r="D67" s="37">
        <f t="shared" si="0"/>
        <v>193000</v>
      </c>
      <c r="E67" s="32">
        <f>C32+C34</f>
        <v>193</v>
      </c>
      <c r="F67" s="37">
        <f t="shared" si="2"/>
        <v>1000</v>
      </c>
      <c r="G67" s="32"/>
      <c r="H67" s="113">
        <v>200</v>
      </c>
      <c r="I67" s="38">
        <v>97</v>
      </c>
    </row>
    <row r="68" spans="1:9" ht="12.75">
      <c r="A68" s="32" t="s">
        <v>70</v>
      </c>
      <c r="B68" s="95">
        <f t="shared" si="1"/>
        <v>221000</v>
      </c>
      <c r="C68" s="37"/>
      <c r="D68" s="37">
        <f t="shared" si="0"/>
        <v>221000</v>
      </c>
      <c r="E68" s="32">
        <f>C33</f>
        <v>221</v>
      </c>
      <c r="F68" s="37">
        <f t="shared" si="2"/>
        <v>1000</v>
      </c>
      <c r="G68" s="32"/>
      <c r="H68" s="113">
        <v>624</v>
      </c>
      <c r="I68" s="38">
        <f>E68/H68*100</f>
        <v>35.41666666666667</v>
      </c>
    </row>
    <row r="69" spans="1:9" ht="12.75">
      <c r="A69" s="32" t="s">
        <v>89</v>
      </c>
      <c r="B69" s="95">
        <f t="shared" si="1"/>
        <v>75200</v>
      </c>
      <c r="C69" s="37">
        <f>D69*0.6</f>
        <v>28200</v>
      </c>
      <c r="D69" s="37">
        <f t="shared" si="0"/>
        <v>47000</v>
      </c>
      <c r="E69" s="32">
        <f>C38</f>
        <v>47</v>
      </c>
      <c r="F69" s="37">
        <f t="shared" si="2"/>
        <v>1600</v>
      </c>
      <c r="G69" s="32" t="s">
        <v>187</v>
      </c>
      <c r="H69" s="113">
        <v>168</v>
      </c>
      <c r="I69" s="38">
        <f>E69/H69*100</f>
        <v>27.976190476190478</v>
      </c>
    </row>
    <row r="70" spans="1:9" ht="12.75">
      <c r="A70" s="32" t="s">
        <v>114</v>
      </c>
      <c r="B70" s="95">
        <f t="shared" si="1"/>
        <v>116800</v>
      </c>
      <c r="C70" s="37">
        <f>D70*0.6</f>
        <v>43800</v>
      </c>
      <c r="D70" s="37">
        <f t="shared" si="0"/>
        <v>73000</v>
      </c>
      <c r="E70" s="32">
        <f>C31</f>
        <v>73</v>
      </c>
      <c r="F70" s="37">
        <f t="shared" si="2"/>
        <v>1600</v>
      </c>
      <c r="G70" s="32" t="s">
        <v>187</v>
      </c>
      <c r="H70" s="113">
        <v>216</v>
      </c>
      <c r="I70" s="38">
        <f>E70/H70*100</f>
        <v>33.7962962962963</v>
      </c>
    </row>
    <row r="71" spans="1:9" ht="12.75">
      <c r="A71" s="32" t="s">
        <v>192</v>
      </c>
      <c r="B71" s="95">
        <f t="shared" si="1"/>
        <v>227810.88</v>
      </c>
      <c r="C71" s="37">
        <f>7734.24*12</f>
        <v>92810.88</v>
      </c>
      <c r="D71" s="37">
        <f t="shared" si="0"/>
        <v>135000</v>
      </c>
      <c r="E71" s="32">
        <f>C35+C51</f>
        <v>135</v>
      </c>
      <c r="F71" s="37">
        <f t="shared" si="2"/>
        <v>1687.488</v>
      </c>
      <c r="G71" s="32" t="s">
        <v>211</v>
      </c>
      <c r="H71" s="113">
        <v>135</v>
      </c>
      <c r="I71" s="38">
        <f>C35/H71*100</f>
        <v>77.03703703703704</v>
      </c>
    </row>
    <row r="72" spans="1:9" ht="12.75">
      <c r="A72" s="32" t="s">
        <v>106</v>
      </c>
      <c r="B72" s="95">
        <f t="shared" si="1"/>
        <v>120000</v>
      </c>
      <c r="C72" s="37"/>
      <c r="D72" s="37">
        <f t="shared" si="0"/>
        <v>120000</v>
      </c>
      <c r="E72" s="32">
        <f>C36</f>
        <v>120</v>
      </c>
      <c r="F72" s="37">
        <f t="shared" si="2"/>
        <v>1000</v>
      </c>
      <c r="G72" s="32"/>
      <c r="H72" s="113">
        <v>172</v>
      </c>
      <c r="I72" s="38">
        <f>E72/H72*100</f>
        <v>69.76744186046511</v>
      </c>
    </row>
    <row r="73" spans="1:9" ht="12.75">
      <c r="A73" s="126" t="s">
        <v>181</v>
      </c>
      <c r="B73" s="124">
        <f>SUM(B59:B72)</f>
        <v>1968331.904</v>
      </c>
      <c r="C73" s="124"/>
      <c r="D73" s="124"/>
      <c r="E73" s="124">
        <f>SUM(E59:E72)</f>
        <v>1718</v>
      </c>
      <c r="F73" s="126"/>
      <c r="G73" s="126"/>
      <c r="H73" s="113"/>
      <c r="I73" s="113"/>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E24"/>
  <sheetViews>
    <sheetView zoomScalePageLayoutView="0" workbookViewId="0" topLeftCell="A1">
      <selection activeCell="A1" sqref="A1:E24"/>
    </sheetView>
  </sheetViews>
  <sheetFormatPr defaultColWidth="9.140625" defaultRowHeight="12.75"/>
  <cols>
    <col min="1" max="1" width="4.421875" style="0" customWidth="1"/>
    <col min="2" max="2" width="48.8515625" style="0" customWidth="1"/>
    <col min="3" max="3" width="10.140625" style="0" bestFit="1" customWidth="1"/>
    <col min="4" max="4" width="10.140625" style="0" customWidth="1"/>
  </cols>
  <sheetData>
    <row r="1" spans="1:5" ht="25.5">
      <c r="A1" s="113"/>
      <c r="B1" s="192" t="s">
        <v>300</v>
      </c>
      <c r="C1" s="192" t="s">
        <v>298</v>
      </c>
      <c r="D1" s="192" t="s">
        <v>129</v>
      </c>
      <c r="E1" s="192" t="s">
        <v>299</v>
      </c>
    </row>
    <row r="2" spans="1:5" ht="12.75">
      <c r="A2" s="113">
        <v>1</v>
      </c>
      <c r="B2" s="113" t="str">
        <f>'LHV 2020 eelarve pr'!D201</f>
        <v>Laulasmaa kool ja spordihoone</v>
      </c>
      <c r="C2" s="38">
        <f>'LHV 2020 eelarve pr'!F201</f>
        <v>3394000</v>
      </c>
      <c r="D2" s="38">
        <f>C2-E2</f>
        <v>0</v>
      </c>
      <c r="E2" s="38">
        <f>'LHV 2020 eelarve pr'!G201</f>
        <v>3394000</v>
      </c>
    </row>
    <row r="3" spans="1:5" ht="12.75">
      <c r="A3" s="113">
        <v>2</v>
      </c>
      <c r="B3" s="113" t="str">
        <f>'LHV 2020 eelarve pr'!D202</f>
        <v>Laulasmaa ÜVK</v>
      </c>
      <c r="C3" s="38">
        <f>'LHV 2020 eelarve pr'!F202</f>
        <v>10756714.666666666</v>
      </c>
      <c r="D3" s="38">
        <f aca="true" t="shared" si="0" ref="D3:D23">C3-E3</f>
        <v>9129398.666666666</v>
      </c>
      <c r="E3" s="38">
        <f>'LHV 2020 eelarve pr'!G202</f>
        <v>1627316</v>
      </c>
    </row>
    <row r="4" spans="1:5" ht="12.75">
      <c r="A4" s="113">
        <v>3</v>
      </c>
      <c r="B4" s="113" t="str">
        <f>'LHV 2020 eelarve pr'!D203</f>
        <v>Teehoiukava</v>
      </c>
      <c r="C4" s="38">
        <f>'LHV 2020 eelarve pr'!F203</f>
        <v>200000</v>
      </c>
      <c r="D4" s="38">
        <f t="shared" si="0"/>
        <v>0</v>
      </c>
      <c r="E4" s="38">
        <f>'LHV 2020 eelarve pr'!G203</f>
        <v>200000</v>
      </c>
    </row>
    <row r="5" spans="1:5" ht="12.75">
      <c r="A5" s="113">
        <v>4</v>
      </c>
      <c r="B5" s="113" t="str">
        <f>'LHV 2020 eelarve pr'!D204</f>
        <v>Lääne-Harju Valla Tugikeskuse ehitus</v>
      </c>
      <c r="C5" s="38">
        <f>'LHV 2020 eelarve pr'!F204</f>
        <v>100000</v>
      </c>
      <c r="D5" s="38">
        <f t="shared" si="0"/>
        <v>0</v>
      </c>
      <c r="E5" s="38">
        <f>'LHV 2020 eelarve pr'!G204</f>
        <v>100000</v>
      </c>
    </row>
    <row r="6" spans="1:5" ht="12.75">
      <c r="A6" s="113">
        <v>5</v>
      </c>
      <c r="B6" s="113" t="str">
        <f>'LHV 2020 eelarve pr'!D205</f>
        <v>Paldiski keskväljak</v>
      </c>
      <c r="C6" s="38">
        <f>'LHV 2020 eelarve pr'!F205</f>
        <v>287000</v>
      </c>
      <c r="D6" s="38">
        <f t="shared" si="0"/>
        <v>0</v>
      </c>
      <c r="E6" s="38">
        <f>'LHV 2020 eelarve pr'!G205</f>
        <v>287000</v>
      </c>
    </row>
    <row r="7" spans="1:5" ht="12.75">
      <c r="A7" s="113">
        <v>6</v>
      </c>
      <c r="B7" s="113" t="str">
        <f>'LHV 2020 eelarve pr'!D206</f>
        <v>Harju-Risti ja Padise reoveepuhastite rekonstrueerimine </v>
      </c>
      <c r="C7" s="38">
        <f>'LHV 2020 eelarve pr'!F206</f>
        <v>600000</v>
      </c>
      <c r="D7" s="38">
        <f t="shared" si="0"/>
        <v>420000</v>
      </c>
      <c r="E7" s="38">
        <f>'LHV 2020 eelarve pr'!G206</f>
        <v>180000</v>
      </c>
    </row>
    <row r="8" spans="1:5" ht="12.75">
      <c r="A8" s="113">
        <v>7</v>
      </c>
      <c r="B8" s="113" t="str">
        <f>'LHV 2020 eelarve pr'!D207</f>
        <v>Rummu vee- ja kanalisatsiooni trasside rekonstrueerimine</v>
      </c>
      <c r="C8" s="38">
        <f>'LHV 2020 eelarve pr'!F207</f>
        <v>200000</v>
      </c>
      <c r="D8" s="38">
        <f t="shared" si="0"/>
        <v>160000</v>
      </c>
      <c r="E8" s="38">
        <f>'LHV 2020 eelarve pr'!G207</f>
        <v>40000</v>
      </c>
    </row>
    <row r="9" spans="1:5" ht="12.75">
      <c r="A9" s="113">
        <v>8</v>
      </c>
      <c r="B9" s="113" t="str">
        <f>'LHV 2020 eelarve pr'!D209</f>
        <v>Korterite avariiremont</v>
      </c>
      <c r="C9" s="38">
        <f>'LHV 2020 eelarve pr'!F209</f>
        <v>20000</v>
      </c>
      <c r="D9" s="38">
        <f t="shared" si="0"/>
        <v>0</v>
      </c>
      <c r="E9" s="38">
        <f>'LHV 2020 eelarve pr'!G209</f>
        <v>20000</v>
      </c>
    </row>
    <row r="10" spans="1:5" ht="12.75">
      <c r="A10" s="113">
        <v>9</v>
      </c>
      <c r="B10" s="113" t="str">
        <f>'LHV 2020 eelarve pr'!D210</f>
        <v>Hallatavate asutuste remondid (vasalemma kooli tuletõkkesektsioonid ja katus)</v>
      </c>
      <c r="C10" s="38">
        <f>'LHV 2020 eelarve pr'!F210</f>
        <v>36000</v>
      </c>
      <c r="D10" s="38">
        <f t="shared" si="0"/>
        <v>0</v>
      </c>
      <c r="E10" s="38">
        <f>'LHV 2020 eelarve pr'!G210</f>
        <v>36000</v>
      </c>
    </row>
    <row r="11" spans="1:5" ht="12.75">
      <c r="A11" s="113">
        <v>10</v>
      </c>
      <c r="B11" s="113" t="str">
        <f>'LHV 2020 eelarve pr'!D211</f>
        <v>Karjaküla sotsiaalkeskuse renoveerimise omaosalus</v>
      </c>
      <c r="C11" s="38">
        <f>'LHV 2020 eelarve pr'!F211</f>
        <v>130000</v>
      </c>
      <c r="D11" s="38">
        <f t="shared" si="0"/>
        <v>0</v>
      </c>
      <c r="E11" s="38">
        <f>'LHV 2020 eelarve pr'!G211</f>
        <v>130000</v>
      </c>
    </row>
    <row r="12" spans="1:5" ht="12.75">
      <c r="A12" s="113">
        <v>11</v>
      </c>
      <c r="B12" s="113" t="str">
        <f>'LHV 2020 eelarve pr'!D212</f>
        <v>Kloogaranna küla Üleoja tee teekoridor+kruusast teealune ehitus</v>
      </c>
      <c r="C12" s="38">
        <f>'LHV 2020 eelarve pr'!F212</f>
        <v>43000</v>
      </c>
      <c r="D12" s="38">
        <f t="shared" si="0"/>
        <v>15600</v>
      </c>
      <c r="E12" s="38">
        <f>'LHV 2020 eelarve pr'!G212</f>
        <v>27400</v>
      </c>
    </row>
    <row r="13" spans="1:5" ht="12.75">
      <c r="A13" s="113">
        <v>12</v>
      </c>
      <c r="B13" s="113" t="str">
        <f>'LHV 2020 eelarve pr'!D213</f>
        <v>Mänguväljakud (omafinantseering) (Karjaküla + 1 küla veel)</v>
      </c>
      <c r="C13" s="38">
        <f>'LHV 2020 eelarve pr'!F213</f>
        <v>45000</v>
      </c>
      <c r="D13" s="38">
        <f t="shared" si="0"/>
        <v>0</v>
      </c>
      <c r="E13" s="38">
        <f>'LHV 2020 eelarve pr'!G213</f>
        <v>45000</v>
      </c>
    </row>
    <row r="14" spans="1:5" ht="12.75">
      <c r="A14" s="113">
        <v>13</v>
      </c>
      <c r="B14" s="113" t="str">
        <f>'LHV 2020 eelarve pr'!D214</f>
        <v>Lehola spordiväljak</v>
      </c>
      <c r="C14" s="38">
        <f>'LHV 2020 eelarve pr'!F214</f>
        <v>20000</v>
      </c>
      <c r="D14" s="38">
        <f t="shared" si="0"/>
        <v>0</v>
      </c>
      <c r="E14" s="38">
        <f>'LHV 2020 eelarve pr'!G214</f>
        <v>20000</v>
      </c>
    </row>
    <row r="15" spans="1:5" ht="12.75">
      <c r="A15" s="113">
        <v>14</v>
      </c>
      <c r="B15" s="113" t="str">
        <f>'LHV 2020 eelarve pr'!D215</f>
        <v>Keila-Joa Lasteaed</v>
      </c>
      <c r="C15" s="38">
        <f>'LHV 2020 eelarve pr'!F215</f>
        <v>900000</v>
      </c>
      <c r="D15" s="38">
        <f t="shared" si="0"/>
        <v>0</v>
      </c>
      <c r="E15" s="38">
        <f>'LHV 2020 eelarve pr'!G215</f>
        <v>900000</v>
      </c>
    </row>
    <row r="16" spans="1:5" ht="12.75">
      <c r="A16" s="113">
        <v>15</v>
      </c>
      <c r="B16" s="113" t="str">
        <f>'LHV 2020 eelarve pr'!D217</f>
        <v>Kloogaranna rannaala väljaarendamine </v>
      </c>
      <c r="C16" s="38">
        <f>'LHV 2020 eelarve pr'!F217</f>
        <v>212000</v>
      </c>
      <c r="D16" s="38">
        <f t="shared" si="0"/>
        <v>159000</v>
      </c>
      <c r="E16" s="38">
        <f>'LHV 2020 eelarve pr'!G217</f>
        <v>53000</v>
      </c>
    </row>
    <row r="17" spans="1:5" ht="12.75">
      <c r="A17" s="113">
        <v>16</v>
      </c>
      <c r="B17" s="113" t="str">
        <f>'LHV 2020 eelarve pr'!D218</f>
        <v>Leetse rand</v>
      </c>
      <c r="C17" s="38">
        <f>'LHV 2020 eelarve pr'!F218</f>
        <v>25000</v>
      </c>
      <c r="D17" s="38">
        <f t="shared" si="0"/>
        <v>0</v>
      </c>
      <c r="E17" s="38">
        <f>'LHV 2020 eelarve pr'!G218</f>
        <v>25000</v>
      </c>
    </row>
    <row r="18" spans="1:5" ht="12.75">
      <c r="A18" s="113">
        <v>17</v>
      </c>
      <c r="B18" s="113" t="str">
        <f>'LHV 2020 eelarve pr'!D219</f>
        <v>Uute rühmaruumide remont (Padise lasteaed)</v>
      </c>
      <c r="C18" s="38">
        <f>'LHV 2020 eelarve pr'!F219</f>
        <v>44000</v>
      </c>
      <c r="D18" s="38">
        <f t="shared" si="0"/>
        <v>0</v>
      </c>
      <c r="E18" s="38">
        <f>'LHV 2020 eelarve pr'!G219</f>
        <v>44000</v>
      </c>
    </row>
    <row r="19" spans="1:5" ht="12.75">
      <c r="A19" s="113">
        <v>18</v>
      </c>
      <c r="B19" s="113" t="str">
        <f>'LHV 2020 eelarve pr'!D220</f>
        <v>Vasalemma mõisapargi rekonstrueerimine</v>
      </c>
      <c r="C19" s="38">
        <f>'LHV 2020 eelarve pr'!F220</f>
        <v>15000</v>
      </c>
      <c r="D19" s="38">
        <f t="shared" si="0"/>
        <v>0</v>
      </c>
      <c r="E19" s="38">
        <f>'LHV 2020 eelarve pr'!G220</f>
        <v>15000</v>
      </c>
    </row>
    <row r="20" spans="1:5" ht="12.75">
      <c r="A20" s="113">
        <v>19</v>
      </c>
      <c r="B20" s="113" t="str">
        <f>'LHV 2020 eelarve pr'!D221</f>
        <v>Vasalemma jalgpallistaadion</v>
      </c>
      <c r="C20" s="38">
        <f>'LHV 2020 eelarve pr'!F221</f>
        <v>300000</v>
      </c>
      <c r="D20" s="38">
        <f t="shared" si="0"/>
        <v>255000</v>
      </c>
      <c r="E20" s="38">
        <f>'LHV 2020 eelarve pr'!G221</f>
        <v>45000</v>
      </c>
    </row>
    <row r="21" spans="1:5" ht="12.75">
      <c r="A21" s="113">
        <v>20</v>
      </c>
      <c r="B21" s="113" t="str">
        <f>'LHV 2020 eelarve pr'!D224</f>
        <v>Rummu lasteaed (terviseameti ettekirjutus ja soojasõlm)</v>
      </c>
      <c r="C21" s="38">
        <f>'LHV 2020 eelarve pr'!F224</f>
        <v>100000</v>
      </c>
      <c r="D21" s="38">
        <f t="shared" si="0"/>
        <v>0</v>
      </c>
      <c r="E21" s="38">
        <f>'LHV 2020 eelarve pr'!G224</f>
        <v>100000</v>
      </c>
    </row>
    <row r="22" spans="1:5" ht="12.75">
      <c r="A22" s="113">
        <v>21</v>
      </c>
      <c r="B22" s="113" t="str">
        <f>'LHV 2020 eelarve pr'!D225</f>
        <v>Jõulinnak (Rummu)</v>
      </c>
      <c r="C22" s="38">
        <f>'LHV 2020 eelarve pr'!F225</f>
        <v>20000</v>
      </c>
      <c r="D22" s="38">
        <f t="shared" si="0"/>
        <v>0</v>
      </c>
      <c r="E22" s="38">
        <f>'LHV 2020 eelarve pr'!G225</f>
        <v>20000</v>
      </c>
    </row>
    <row r="23" spans="1:5" ht="12.75">
      <c r="A23" s="113">
        <v>22</v>
      </c>
      <c r="B23" s="113" t="str">
        <f>'LHV 2020 eelarve pr'!D226</f>
        <v>Rummu elukeskkond</v>
      </c>
      <c r="C23" s="38">
        <f>'LHV 2020 eelarve pr'!F226</f>
        <v>25000</v>
      </c>
      <c r="D23" s="38">
        <f t="shared" si="0"/>
        <v>0</v>
      </c>
      <c r="E23" s="38">
        <f>'LHV 2020 eelarve pr'!G226</f>
        <v>25000</v>
      </c>
    </row>
    <row r="24" spans="1:5" ht="12.75">
      <c r="A24" s="113"/>
      <c r="B24" s="32" t="s">
        <v>181</v>
      </c>
      <c r="C24" s="38">
        <f>SUM(C2:C23)</f>
        <v>17472714.666666664</v>
      </c>
      <c r="D24" s="38">
        <f>SUM(D2:D23)</f>
        <v>10138998.666666666</v>
      </c>
      <c r="E24" s="38">
        <f>SUM(E2:E23)</f>
        <v>7333716</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B1:F12"/>
  <sheetViews>
    <sheetView zoomScalePageLayoutView="0" workbookViewId="0" topLeftCell="A1">
      <selection activeCell="B1" sqref="B1:F12"/>
    </sheetView>
  </sheetViews>
  <sheetFormatPr defaultColWidth="9.140625" defaultRowHeight="12.75"/>
  <cols>
    <col min="2" max="2" width="50.00390625" style="0" customWidth="1"/>
  </cols>
  <sheetData>
    <row r="1" spans="2:5" s="3" customFormat="1" ht="12.75">
      <c r="B1" s="3" t="s">
        <v>131</v>
      </c>
      <c r="C1" s="3" t="s">
        <v>128</v>
      </c>
      <c r="D1" s="26" t="s">
        <v>129</v>
      </c>
      <c r="E1" s="3" t="s">
        <v>130</v>
      </c>
    </row>
    <row r="2" spans="2:6" ht="12.75">
      <c r="B2" s="8" t="s">
        <v>122</v>
      </c>
      <c r="C2" s="22">
        <v>4000</v>
      </c>
      <c r="D2" s="22">
        <f>C2*0.4</f>
        <v>1600</v>
      </c>
      <c r="E2" s="22">
        <f>C2-D2</f>
        <v>2400</v>
      </c>
      <c r="F2" s="8"/>
    </row>
    <row r="3" spans="2:6" ht="12.75">
      <c r="B3" s="8" t="s">
        <v>123</v>
      </c>
      <c r="C3" s="22">
        <v>35000</v>
      </c>
      <c r="D3" s="22">
        <f>C3*0.4</f>
        <v>14000</v>
      </c>
      <c r="E3" s="22">
        <f>C3-D3</f>
        <v>21000</v>
      </c>
      <c r="F3" s="8"/>
    </row>
    <row r="4" spans="2:6" ht="12.75">
      <c r="B4" s="8" t="s">
        <v>124</v>
      </c>
      <c r="C4" s="22">
        <v>6000</v>
      </c>
      <c r="D4" s="22"/>
      <c r="E4" s="8"/>
      <c r="F4" s="8" t="s">
        <v>125</v>
      </c>
    </row>
    <row r="5" spans="2:6" ht="12.75">
      <c r="B5" s="8"/>
      <c r="C5" s="22">
        <f>SUM(C2:C4)</f>
        <v>45000</v>
      </c>
      <c r="D5" s="23"/>
      <c r="E5" s="24"/>
      <c r="F5" s="8"/>
    </row>
    <row r="6" spans="2:6" ht="12.75">
      <c r="B6" s="8"/>
      <c r="C6" s="22"/>
      <c r="D6" s="22"/>
      <c r="E6" s="22"/>
      <c r="F6" s="8"/>
    </row>
    <row r="7" spans="2:6" ht="12.75">
      <c r="B7" s="8"/>
      <c r="C7" s="22"/>
      <c r="D7" s="22"/>
      <c r="E7" s="8"/>
      <c r="F7" s="8"/>
    </row>
    <row r="8" spans="2:6" ht="12.75">
      <c r="B8" s="8"/>
      <c r="C8" s="22"/>
      <c r="D8" s="22"/>
      <c r="E8" s="8"/>
      <c r="F8" s="8"/>
    </row>
    <row r="9" spans="2:6" ht="15">
      <c r="B9" s="25" t="s">
        <v>126</v>
      </c>
      <c r="C9" s="22">
        <v>10000</v>
      </c>
      <c r="D9" s="22"/>
      <c r="E9" s="8"/>
      <c r="F9" s="8"/>
    </row>
    <row r="10" spans="2:6" ht="15">
      <c r="B10" s="25" t="s">
        <v>127</v>
      </c>
      <c r="C10" s="22">
        <v>10000</v>
      </c>
      <c r="D10" s="22"/>
      <c r="F10" s="8"/>
    </row>
    <row r="11" spans="2:6" ht="12.75">
      <c r="B11" s="8"/>
      <c r="C11" s="8"/>
      <c r="D11" s="22"/>
      <c r="E11" s="8"/>
      <c r="F11" s="8"/>
    </row>
    <row r="12" spans="2:5" ht="12.75">
      <c r="B12" s="8" t="s">
        <v>139</v>
      </c>
      <c r="C12" s="9">
        <f>C2+C3</f>
        <v>39000</v>
      </c>
      <c r="D12" s="22">
        <f>SUM(D2:D9)</f>
        <v>15600</v>
      </c>
      <c r="E12" s="22">
        <f>SUM(E2:E9)</f>
        <v>23400</v>
      </c>
    </row>
  </sheetData>
  <sheetProtection/>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B1:C7"/>
  <sheetViews>
    <sheetView zoomScalePageLayoutView="0" workbookViewId="0" topLeftCell="A1">
      <selection activeCell="B1" sqref="B1:C7"/>
    </sheetView>
  </sheetViews>
  <sheetFormatPr defaultColWidth="9.140625" defaultRowHeight="12.75"/>
  <cols>
    <col min="1" max="1" width="5.28125" style="0" customWidth="1"/>
    <col min="2" max="2" width="88.57421875" style="0" customWidth="1"/>
    <col min="3" max="3" width="44.28125" style="0" customWidth="1"/>
  </cols>
  <sheetData>
    <row r="1" spans="2:3" ht="45">
      <c r="B1" s="27" t="s">
        <v>132</v>
      </c>
      <c r="C1" s="20" t="s">
        <v>138</v>
      </c>
    </row>
    <row r="2" ht="15">
      <c r="B2" s="28"/>
    </row>
    <row r="3" spans="2:3" ht="45">
      <c r="B3" s="27" t="s">
        <v>133</v>
      </c>
      <c r="C3" s="8" t="s">
        <v>140</v>
      </c>
    </row>
    <row r="4" ht="15">
      <c r="B4" s="28"/>
    </row>
    <row r="5" spans="2:3" ht="30">
      <c r="B5" s="27" t="s">
        <v>134</v>
      </c>
      <c r="C5" s="8" t="s">
        <v>136</v>
      </c>
    </row>
    <row r="6" ht="15">
      <c r="B6" s="28"/>
    </row>
    <row r="7" spans="2:3" ht="30">
      <c r="B7" s="27" t="s">
        <v>135</v>
      </c>
      <c r="C7" s="8" t="s">
        <v>137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ETH0 -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Reet Pikkpõld</cp:lastModifiedBy>
  <cp:lastPrinted>2019-12-04T07:52:14Z</cp:lastPrinted>
  <dcterms:created xsi:type="dcterms:W3CDTF">2012-02-08T23:47:30Z</dcterms:created>
  <dcterms:modified xsi:type="dcterms:W3CDTF">2020-01-06T09:22:52Z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0x010100301167EE7F566F4ABB959E6166FFBC1E</vt:lpwstr>
  </property>
</Properties>
</file>