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1570" windowHeight="10215" activeTab="0"/>
  </bookViews>
  <sheets>
    <sheet name="LHV 2018 eelarve pr" sheetId="1" r:id="rId1"/>
    <sheet name="Lisaeelarve nr 1 koond" sheetId="2" r:id="rId2"/>
    <sheet name="Reservfondi kasutamine" sheetId="3" r:id="rId3"/>
    <sheet name="Investeeringute soovid" sheetId="4" state="hidden" r:id="rId4"/>
    <sheet name="Sots komisjoni ettepanekud" sheetId="5" state="hidden" r:id="rId5"/>
  </sheets>
  <definedNames/>
  <calcPr fullCalcOnLoad="1"/>
</workbook>
</file>

<file path=xl/comments1.xml><?xml version="1.0" encoding="utf-8"?>
<comments xmlns="http://schemas.openxmlformats.org/spreadsheetml/2006/main">
  <authors>
    <author>Riina Karm</author>
  </authors>
  <commentList>
    <comment ref="G164" authorId="0">
      <text>
        <r>
          <rPr>
            <b/>
            <sz val="9"/>
            <rFont val="Tahoma"/>
            <family val="2"/>
          </rPr>
          <t>Riina Karm:</t>
        </r>
        <r>
          <rPr>
            <sz val="9"/>
            <rFont val="Tahoma"/>
            <family val="2"/>
          </rPr>
          <t xml:space="preserve">
Kloogaranna raudteeparkla ehituse omaosalus
Vasalemma lasteaed 
12272.- avariiline remont
Karjaküla lasteaia maasoojuspumba remont 9615.-</t>
        </r>
      </text>
    </comment>
  </commentList>
</comments>
</file>

<file path=xl/sharedStrings.xml><?xml version="1.0" encoding="utf-8"?>
<sst xmlns="http://schemas.openxmlformats.org/spreadsheetml/2006/main" count="463" uniqueCount="263">
  <si>
    <t>Artikkel</t>
  </si>
  <si>
    <t>Kirjeldus</t>
  </si>
  <si>
    <t>Tulud kokku</t>
  </si>
  <si>
    <t>Maksud</t>
  </si>
  <si>
    <t>Füüsilise isiku tulumaks</t>
  </si>
  <si>
    <t>Maamaks</t>
  </si>
  <si>
    <t>Kaupade ja teenuste müük</t>
  </si>
  <si>
    <t>Riigilõiv</t>
  </si>
  <si>
    <t>Toetused</t>
  </si>
  <si>
    <t>Materiaalsete ja immateriaalsete varade müük</t>
  </si>
  <si>
    <t>1. Põhitegevuse tulud</t>
  </si>
  <si>
    <t>2. Põhitegevuse kulud</t>
  </si>
  <si>
    <t>4-6</t>
  </si>
  <si>
    <t>Kulud kokku</t>
  </si>
  <si>
    <t>Eraldised kokku</t>
  </si>
  <si>
    <t>10402</t>
  </si>
  <si>
    <t>Sünni-, kooli-, üksikvanema- jm peretoetused</t>
  </si>
  <si>
    <t>10701</t>
  </si>
  <si>
    <t>Toimetulekutoetused</t>
  </si>
  <si>
    <t>10121</t>
  </si>
  <si>
    <t>10900</t>
  </si>
  <si>
    <t>Matuse- jm. ühekordsed toetused</t>
  </si>
  <si>
    <t>Erijuhtudel makstav sotsiaalmaks</t>
  </si>
  <si>
    <t>08102</t>
  </si>
  <si>
    <t>Palgafond kokku</t>
  </si>
  <si>
    <t>01111</t>
  </si>
  <si>
    <t>01112</t>
  </si>
  <si>
    <t>08201</t>
  </si>
  <si>
    <t>09110</t>
  </si>
  <si>
    <t>Lasteaiad</t>
  </si>
  <si>
    <t>Majanduskulud kokku</t>
  </si>
  <si>
    <t>04510</t>
  </si>
  <si>
    <t>Teede ja tänavate teehoid</t>
  </si>
  <si>
    <t>04740</t>
  </si>
  <si>
    <t>05100</t>
  </si>
  <si>
    <t>Jäätmekäitlus (prügivedu)</t>
  </si>
  <si>
    <t>06400</t>
  </si>
  <si>
    <t>Tänavavalgustus</t>
  </si>
  <si>
    <t>06605</t>
  </si>
  <si>
    <t>Kultuuriüritused</t>
  </si>
  <si>
    <t>08300</t>
  </si>
  <si>
    <t>Ringhäälingu- ja kirjastamisteenused</t>
  </si>
  <si>
    <t>Eelharidus (lasteaiad)</t>
  </si>
  <si>
    <t>teistele KOV--idele makstavad kohatasud</t>
  </si>
  <si>
    <t>Muu sotsiaalne kaitse</t>
  </si>
  <si>
    <t>Muud kulud</t>
  </si>
  <si>
    <t>01700</t>
  </si>
  <si>
    <t>Reserv</t>
  </si>
  <si>
    <t>Põhitegevuse tulem</t>
  </si>
  <si>
    <t>Investeeringud</t>
  </si>
  <si>
    <t>3. Investeerimistegevus</t>
  </si>
  <si>
    <t>Põhivara soetuseks saadavad toetused</t>
  </si>
  <si>
    <t>Investeerimistegevuse laekumised kokku</t>
  </si>
  <si>
    <t>Võetud laenude tagasimaksmine</t>
  </si>
  <si>
    <t>4. Finantseerimistegevus</t>
  </si>
  <si>
    <t>Investeerimistegevus kokku</t>
  </si>
  <si>
    <t>Maksud, lõivud, trahvid</t>
  </si>
  <si>
    <t>04512</t>
  </si>
  <si>
    <t>05600</t>
  </si>
  <si>
    <t>20.6</t>
  </si>
  <si>
    <t>20.5</t>
  </si>
  <si>
    <t>Uute laenude võtmine</t>
  </si>
  <si>
    <t>09212</t>
  </si>
  <si>
    <t>Põhikoolid</t>
  </si>
  <si>
    <t>Gümnaasium</t>
  </si>
  <si>
    <t>Intress võetud laenudelt</t>
  </si>
  <si>
    <t>MTÜ-d ja muud ühingud - ettevõtlus</t>
  </si>
  <si>
    <t>MTÜ-d ja muud ühingud - sport</t>
  </si>
  <si>
    <t>MTÜ-d ja muud ühingud - ühiskondlik tegevus</t>
  </si>
  <si>
    <t>04900</t>
  </si>
  <si>
    <t>Paldiski Vene Põhikool</t>
  </si>
  <si>
    <t>Liikmemaksud (HOL, Koostöökogu)</t>
  </si>
  <si>
    <t>Liikmemaksud (Harjumaa Ühistransp. keskus)</t>
  </si>
  <si>
    <t>09800</t>
  </si>
  <si>
    <t>Lapsehoiuteenuse toetus</t>
  </si>
  <si>
    <t>09213</t>
  </si>
  <si>
    <t>10201</t>
  </si>
  <si>
    <t>Korterite kommunaalkulud, üür, rent</t>
  </si>
  <si>
    <t>Eelarve tulem (koos investeeringutega)</t>
  </si>
  <si>
    <t xml:space="preserve">Projekt" Padise kloostrikompleksi arendamine interaktiivseks </t>
  </si>
  <si>
    <t>16-0005 Keila valla tänavavalgustuse taristu renoveerimine</t>
  </si>
  <si>
    <t>09600</t>
  </si>
  <si>
    <t>Õpilaste transport</t>
  </si>
  <si>
    <t>Vallavolikogu</t>
  </si>
  <si>
    <t>Vallavalitsus</t>
  </si>
  <si>
    <t>Raamatukogud</t>
  </si>
  <si>
    <t>Paldiski lasteaed Naerulind</t>
  </si>
  <si>
    <t>Paldiski lasteaed Sipsik</t>
  </si>
  <si>
    <t>Klooga lasteaed</t>
  </si>
  <si>
    <t>Lehola lasteaed</t>
  </si>
  <si>
    <t>Laulasmaa lasteaed</t>
  </si>
  <si>
    <t>Klooga kool</t>
  </si>
  <si>
    <t>Laulasmaa kool</t>
  </si>
  <si>
    <t>Lehola kool</t>
  </si>
  <si>
    <t>09609</t>
  </si>
  <si>
    <t>Tsentraalsed hariduse abiteenused</t>
  </si>
  <si>
    <t>Muud haridusega seotud kulud, sh haldus</t>
  </si>
  <si>
    <t>08107</t>
  </si>
  <si>
    <t>Huvikeskus/noorsootöö</t>
  </si>
  <si>
    <t>08109</t>
  </si>
  <si>
    <t>Noorte huviharidus</t>
  </si>
  <si>
    <t>09601</t>
  </si>
  <si>
    <t>Koolitoitlustus</t>
  </si>
  <si>
    <t>Tasandusfond</t>
  </si>
  <si>
    <t>Toetusfond</t>
  </si>
  <si>
    <t>Vasalemma lasteaed</t>
  </si>
  <si>
    <t>Rummu lasteaed</t>
  </si>
  <si>
    <t>Territorriaalne planeerimine ja majanduse haldus</t>
  </si>
  <si>
    <t>Vasalemma Põhikool</t>
  </si>
  <si>
    <t>Ämari Põhikool</t>
  </si>
  <si>
    <t>Õpilaste vedu</t>
  </si>
  <si>
    <t>Puudega inimeste toetused</t>
  </si>
  <si>
    <t>08202</t>
  </si>
  <si>
    <t>Rahvakultuur</t>
  </si>
  <si>
    <t>08207</t>
  </si>
  <si>
    <t>Muinsuskaitse (Padise klooster)</t>
  </si>
  <si>
    <t>Padise Põhikool</t>
  </si>
  <si>
    <t>Risti Põhikool</t>
  </si>
  <si>
    <t xml:space="preserve"> Laulasmaa kooli juurdeehitus</t>
  </si>
  <si>
    <t>Liikmemaksud (KEJHK, Harjumaa ÜK)</t>
  </si>
  <si>
    <t>09510</t>
  </si>
  <si>
    <t>Sporditegevus</t>
  </si>
  <si>
    <t>Muud sotsiaalteenused</t>
  </si>
  <si>
    <t>Hooldekodud</t>
  </si>
  <si>
    <t>Hajaasustuse programm</t>
  </si>
  <si>
    <t>Keskkonna hooldus (s.h. hulkuvad loomad jm)</t>
  </si>
  <si>
    <t>Paldiski tänavavalgustus</t>
  </si>
  <si>
    <t>Kloogaranna küla Üleoja tee uue teekoridori projekteeriine</t>
  </si>
  <si>
    <t>Kloogaranna küla Üleoja tee teekoridor+kruusast teealune ehitus</t>
  </si>
  <si>
    <t>Kloogaranna küla Mere tee kõnnitee projekteerimine</t>
  </si>
  <si>
    <t>Koos riigiga</t>
  </si>
  <si>
    <t>Keila Joa Lossi 8 juurde (valla kinnistule) lastemänguväljak</t>
  </si>
  <si>
    <t>Kloogale mänguväljak</t>
  </si>
  <si>
    <t>Maksumus</t>
  </si>
  <si>
    <t>Toetus</t>
  </si>
  <si>
    <t>Oma osalus</t>
  </si>
  <si>
    <t>Muudatusettepanek</t>
  </si>
  <si>
    <t>1. Kuskil (seletuskirjas?) oli mainitud Padise arstipunkti, see tekitas kellelgi küsimuse, et kuna Vasalemmas on ka arstipunkt, aga seda ei olnud mainitud, siis kas seda enam ei toetata. Ühesõnaga ettepanek mainida ära ka Vasalemma arstipunkt või siis üldse mitte kumbagi.</t>
  </si>
  <si>
    <t>2. Seletuskirjas oli tabel õpilaste keskmiste kulude kohta erinevates koolides jm. näitajatega, Klooga koolis oli õpilase kulu üle kahe korra suurem kui näiteks Paldiski Vene Põhikoolis, kas on kindel et see ei sisalda ühekordseid remonditöid või ongi seal õpetamise hind nii kallis?</t>
  </si>
  <si>
    <t>3. Põhivara osas: „Padise teed“, nimetada ümber „Padise piirkonna teed“, sest see ei puuduta mitte ainult Padise küla (kus teed on suhteliselt head), vaid suuremat territooriumi.</t>
  </si>
  <si>
    <t>4. Põhivarade ridade summa peab seletuskirjaga täpselt klappima, liikmetel oli erinevaid tabeleid, kus kogusummad ei olnud võrdsed.</t>
  </si>
  <si>
    <t>Nimetatud</t>
  </si>
  <si>
    <t>Viimane eelarve versioon ja seletuskiri klapivad</t>
  </si>
  <si>
    <t>Eelarve summa sisaldab mõlem arstipunkti kommunaalkulusid.</t>
  </si>
  <si>
    <t>Ettepanek eelarvesse</t>
  </si>
  <si>
    <t>Remondi osa on eraldatud remondi fondi reale.</t>
  </si>
  <si>
    <t>08600</t>
  </si>
  <si>
    <t>Preemiad õpilastele/sportlastele (valla poolt)</t>
  </si>
  <si>
    <t>Preemiad õpilastele/sportlastele (koolide poolt)</t>
  </si>
  <si>
    <t>09400</t>
  </si>
  <si>
    <t>Stipendiumid</t>
  </si>
  <si>
    <t>Antavad toetused - transpordikorraldus (HÜTK)</t>
  </si>
  <si>
    <t>Kommunaalmajandus (Lahevesi)</t>
  </si>
  <si>
    <t>TA</t>
  </si>
  <si>
    <t>Spordikeskus (ujula kasutamine)</t>
  </si>
  <si>
    <t>Sotsiaalvaldkonna laekumised</t>
  </si>
  <si>
    <t>Muud üüri- ja renditulud</t>
  </si>
  <si>
    <t>Risti lasteaed</t>
  </si>
  <si>
    <t>08103</t>
  </si>
  <si>
    <t>Puhkepargid, mänguväljakud</t>
  </si>
  <si>
    <t>Padise lasteaed</t>
  </si>
  <si>
    <t>Osaluse soetus (ettevõtlus)</t>
  </si>
  <si>
    <t>Paldiski lipuväljak</t>
  </si>
  <si>
    <t>Rummu elukeskkonna projekt</t>
  </si>
  <si>
    <t>Mänguväljakud</t>
  </si>
  <si>
    <t>Laulasmaa ÜVK</t>
  </si>
  <si>
    <t>Paldiski Rae tn raudteest Lõuna tänavani</t>
  </si>
  <si>
    <t>Paldiski Pakri kergliiklustee projekteerimine</t>
  </si>
  <si>
    <t>Rummu lasteaia remont</t>
  </si>
  <si>
    <t>Vasalemma koolistaadion</t>
  </si>
  <si>
    <t>Kergliiklustee Karjaküla</t>
  </si>
  <si>
    <t>Laulasmaa kooli juurdeehitus</t>
  </si>
  <si>
    <t>Üleoja tee Kloogaranna küla</t>
  </si>
  <si>
    <t>Teehoiukava</t>
  </si>
  <si>
    <t>Vasalemma Huvikeskus</t>
  </si>
  <si>
    <t>Paldiski Muusikakool</t>
  </si>
  <si>
    <t>Vasalemma Kunstide Kool</t>
  </si>
  <si>
    <t>Paldiski Spordikeskus</t>
  </si>
  <si>
    <t>Muud spordikulud</t>
  </si>
  <si>
    <t xml:space="preserve">Paldiski Vene Põhikooli </t>
  </si>
  <si>
    <t>Paldiski Põhikooli ja Paldiski Ühisgümnaasium</t>
  </si>
  <si>
    <t>Korterid ja muu elamumajandus</t>
  </si>
  <si>
    <t xml:space="preserve">Paldiski Põhikool </t>
  </si>
  <si>
    <t>06300</t>
  </si>
  <si>
    <t>Paldiski Huvikeskus</t>
  </si>
  <si>
    <t>Klooga Kultuuri- ja Noorsookeskus</t>
  </si>
  <si>
    <t>Klooga Kultuuri- ja Noortekeskus</t>
  </si>
  <si>
    <t>Padise Rahvamaja</t>
  </si>
  <si>
    <t>Keila-Joa soojatorustiku renoveerimine</t>
  </si>
  <si>
    <t xml:space="preserve">LHV 2019.a. eelarve </t>
  </si>
  <si>
    <t>Teiste KOV-ide õpilaste õppemaks ja lasteaedade kohatasu</t>
  </si>
  <si>
    <t>Rummu spordikeskuse I korruse remont</t>
  </si>
  <si>
    <t>Rummu päevakeskuse I korruse remont (sireli 14)</t>
  </si>
  <si>
    <t>Vasalemma vallamaja I korruse remont</t>
  </si>
  <si>
    <t>Magdaleena kinnistu müük</t>
  </si>
  <si>
    <t>Sadama 16 müük</t>
  </si>
  <si>
    <t>Reoveepuhastite rek - Padise</t>
  </si>
  <si>
    <t>Padise Tiigikurvi ja Tiigiääre kinnistute müük</t>
  </si>
  <si>
    <t>Harju Risti maja 4 korterite 9,10,11 ja 12 müük</t>
  </si>
  <si>
    <t>OÜ Padise Grupp osa müük</t>
  </si>
  <si>
    <t>Projekt" Padise kloostrikompleksi arendamine täiendavalt</t>
  </si>
  <si>
    <t>Sadama 14a müük</t>
  </si>
  <si>
    <t>2019 eelarve</t>
  </si>
  <si>
    <t>Lisaeelarve nr 1</t>
  </si>
  <si>
    <t>2019 lõplik eelarve</t>
  </si>
  <si>
    <t>Lehola koolimaja raamatukogu moodul</t>
  </si>
  <si>
    <t>Lehola koolimaja tuletõkkeuksed</t>
  </si>
  <si>
    <t>2019. a 1. lisaeelarve</t>
  </si>
  <si>
    <t>Lisaeelarve nr 2</t>
  </si>
  <si>
    <t>Hariduse haldus</t>
  </si>
  <si>
    <t>Paldiski disc-golfi rada</t>
  </si>
  <si>
    <t>Vallale kuuluvate korterite müük</t>
  </si>
  <si>
    <t>Lääne-Harju Tugikeskuse projekteerimine</t>
  </si>
  <si>
    <t>Muud tegevustoetused (katuseraha, PRIA, jn)</t>
  </si>
  <si>
    <t>Kloogaranna raudteeparkla ehituse lõpetamine - omafinantseering</t>
  </si>
  <si>
    <t>2019.a. eelarve</t>
  </si>
  <si>
    <t>Muutus</t>
  </si>
  <si>
    <t>2019.a. lõplik eelarve</t>
  </si>
  <si>
    <t>LHV reservfondi kasutamine</t>
  </si>
  <si>
    <t>Lasteaedade õppemaks</t>
  </si>
  <si>
    <t>Muud müügitulud (s.h. Muusikakooli õppemaks)</t>
  </si>
  <si>
    <t>Vasalemma Päevakeskus</t>
  </si>
  <si>
    <t>Ujumissild Vasalemma karjääri</t>
  </si>
  <si>
    <t>Valvekaamerad Paldiskisse</t>
  </si>
  <si>
    <t>R.Kiviorg koondamistasu 6700€</t>
  </si>
  <si>
    <t>valimiste toetus 31 456€ + katuseraha 15 000€</t>
  </si>
  <si>
    <t>5 kuu tegelik kulu 31 000€</t>
  </si>
  <si>
    <t>Reservfondi kasutamine</t>
  </si>
  <si>
    <t>Tulu kinnistu müügist Põhjasadamale</t>
  </si>
  <si>
    <t>valimiste palgakulu 31456€+Annely Padrik palgafond Vasalemma Päevakeskuse realt 17.06 seisuga 8697€</t>
  </si>
  <si>
    <t>Teehoiukava objektide tegelik maksumus on 108 330€; + Kibru tee remont 60 000€</t>
  </si>
  <si>
    <t>Suurendada investeeringutes teehoiu rida</t>
  </si>
  <si>
    <t>Karjaküla lasteaia maasoojuspumba vahetus</t>
  </si>
  <si>
    <t>Muud tulud (ressursitasud, hooldekodude omaosalus, jne)</t>
  </si>
  <si>
    <t>Vaarika kinnistu Altkülas</t>
  </si>
  <si>
    <t>toetusfond</t>
  </si>
  <si>
    <t>vald</t>
  </si>
  <si>
    <t>Teed</t>
  </si>
  <si>
    <t>Vea korrigeerimine</t>
  </si>
  <si>
    <t>valla finantseering</t>
  </si>
  <si>
    <t>VV2</t>
  </si>
  <si>
    <t>Saue KTG projekt</t>
  </si>
  <si>
    <t>2018 tegelik</t>
  </si>
  <si>
    <t>laste arvu suurenemine</t>
  </si>
  <si>
    <t>Reservfond remonditöödeks</t>
  </si>
  <si>
    <t>kaevandamise mahtude suurenemine</t>
  </si>
  <si>
    <t>IT tugi koolidele ja lasteaedadele Cone Center poolt</t>
  </si>
  <si>
    <t>Hanked läksid kallimaks</t>
  </si>
  <si>
    <t>Pakkumine läks kallimaks</t>
  </si>
  <si>
    <t>Katuserahadest</t>
  </si>
  <si>
    <t>Omafinantseering reservfondist</t>
  </si>
  <si>
    <t>Reservfondist</t>
  </si>
  <si>
    <t>Planeeritust suurem kulu</t>
  </si>
  <si>
    <t>Abivallavanema E.Rubeni taotlus koolide remondiks: Lehola koolimaja 26 530€, Klooga koolimaja 7000€, 13265€ Padise koolimaja</t>
  </si>
  <si>
    <t>Abivallavanema E.Rubeni taotlus lasteaedade remondiks: Karjaküla lasteaed 3697,20€, Klooga lasteaed 7104</t>
  </si>
  <si>
    <t>Katuseraha, kasutatakse helitehnika soetamiseks</t>
  </si>
  <si>
    <t>Töötajate üleviimine</t>
  </si>
  <si>
    <t>Noorsootöötaja M.Purel töötasu siia reale Vasalemma Päevakeskuse realt alates 01.08 944€ kuus</t>
  </si>
  <si>
    <t>Esialgse eelarve taastamine</t>
  </si>
  <si>
    <t>Laekunud avaldus</t>
  </si>
  <si>
    <t>5 kuud tegelik 2018</t>
  </si>
  <si>
    <t>5 kuud tegelik 2019</t>
  </si>
  <si>
    <t>Klooga raudteeparkla ehituse lõpetamine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</si>
</sst>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425]dddd\,\ d\.\ mmmm\ yyyy"/>
    <numFmt numFmtId="180" formatCode="h:mm\.ss"/>
    <numFmt numFmtId="181" formatCode="#,##0.00_ ;[Red]\-#,##0.00\ "/>
    <numFmt numFmtId="182" formatCode="#,##0_ ;[Red]\-#,##0\ "/>
    <numFmt numFmtId="183" formatCode="0.0"/>
  </numFmts>
  <fonts count="54">
    <font>
      <sz val="10"/>
      <name val="Arial"/>
      <family val="0"/>
    </font>
    <font>
      <b/>
      <sz val="12"/>
      <name val="Arial"/>
      <family val="2"/>
    </font>
    <font>
      <b/>
      <sz val="10"/>
      <name val="Arial"/>
      <family val="2"/>
    </font>
    <font>
      <sz val="9"/>
      <name val="Arial"/>
      <family val="2"/>
    </font>
    <font>
      <i/>
      <sz val="8"/>
      <name val="Arial"/>
      <family val="2"/>
    </font>
    <font>
      <b/>
      <sz val="11"/>
      <name val="Arial"/>
      <family val="2"/>
    </font>
    <font>
      <sz val="8"/>
      <name val="Arial"/>
      <family val="2"/>
    </font>
    <font>
      <b/>
      <sz val="10"/>
      <color indexed="8"/>
      <name val="Arial"/>
      <family val="2"/>
    </font>
    <font>
      <b/>
      <sz val="12"/>
      <color indexed="8"/>
      <name val="Arial"/>
      <family val="2"/>
    </font>
    <font>
      <sz val="10"/>
      <color indexed="8"/>
      <name val="Arial"/>
      <family val="2"/>
    </font>
    <font>
      <b/>
      <i/>
      <sz val="12"/>
      <name val="Arial"/>
      <family val="2"/>
    </font>
    <font>
      <sz val="11"/>
      <name val="Calibri"/>
      <family val="2"/>
    </font>
    <font>
      <sz val="9"/>
      <name val="Tahoma"/>
      <family val="2"/>
    </font>
    <font>
      <b/>
      <sz val="9"/>
      <name val="Tahoma"/>
      <family val="2"/>
    </font>
    <font>
      <sz val="11"/>
      <color indexed="8"/>
      <name val="Calibri"/>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u val="single"/>
      <sz val="10"/>
      <color indexed="12"/>
      <name val="Arial"/>
      <family val="2"/>
    </font>
    <font>
      <b/>
      <sz val="11"/>
      <color indexed="8"/>
      <name val="Calibri"/>
      <family val="2"/>
    </font>
    <font>
      <b/>
      <sz val="11"/>
      <color indexed="9"/>
      <name val="Calibri"/>
      <family val="2"/>
    </font>
    <font>
      <u val="single"/>
      <sz val="10"/>
      <color indexed="20"/>
      <name val="Arial"/>
      <family val="2"/>
    </font>
    <font>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
      <sz val="10"/>
      <color theme="1"/>
      <name val="Arial"/>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1"/>
        <bgColor indexed="64"/>
      </patternFill>
    </fill>
    <fill>
      <patternFill patternType="solid">
        <fgColor rgb="FFCC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hair"/>
      <top style="thin"/>
      <bottom style="thin"/>
    </border>
    <border>
      <left>
        <color indexed="63"/>
      </left>
      <right/>
      <top/>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1" applyNumberFormat="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173" fontId="0" fillId="0" borderId="0" applyFont="0" applyFill="0" applyBorder="0" applyAlignment="0" applyProtection="0"/>
    <xf numFmtId="171" fontId="0" fillId="0" borderId="0" applyFont="0" applyFill="0" applyBorder="0" applyAlignment="0" applyProtection="0"/>
    <xf numFmtId="0" fontId="41" fillId="22" borderId="3" applyNumberFormat="0" applyAlignment="0" applyProtection="0"/>
    <xf numFmtId="0" fontId="42" fillId="0" borderId="0" applyNumberFormat="0" applyFill="0" applyBorder="0" applyAlignment="0" applyProtection="0"/>
    <xf numFmtId="0" fontId="43" fillId="0" borderId="4" applyNumberFormat="0" applyFill="0" applyAlignment="0" applyProtection="0"/>
    <xf numFmtId="0" fontId="0" fillId="23" borderId="5" applyNumberFormat="0" applyFont="0" applyAlignment="0" applyProtection="0"/>
    <xf numFmtId="0" fontId="44" fillId="24" borderId="0" applyNumberFormat="0" applyBorder="0" applyAlignment="0" applyProtection="0"/>
    <xf numFmtId="0" fontId="0" fillId="0" borderId="0">
      <alignment/>
      <protection/>
    </xf>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8" fillId="0" borderId="0" applyNumberFormat="0" applyFill="0" applyBorder="0" applyAlignment="0" applyProtection="0"/>
    <xf numFmtId="0" fontId="49" fillId="31"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19" borderId="9" applyNumberFormat="0" applyAlignment="0" applyProtection="0"/>
    <xf numFmtId="0" fontId="51"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xf>
    <xf numFmtId="0" fontId="2" fillId="0" borderId="0" xfId="0" applyFont="1" applyAlignment="1">
      <alignment/>
    </xf>
    <xf numFmtId="0" fontId="5" fillId="0" borderId="0" xfId="0" applyFont="1" applyAlignment="1">
      <alignment/>
    </xf>
    <xf numFmtId="0" fontId="4" fillId="0" borderId="0" xfId="0" applyFont="1" applyBorder="1" applyAlignment="1" quotePrefix="1">
      <alignment/>
    </xf>
    <xf numFmtId="0" fontId="4" fillId="0" borderId="0" xfId="0" applyFont="1" applyBorder="1" applyAlignment="1" quotePrefix="1">
      <alignment horizontal="left"/>
    </xf>
    <xf numFmtId="0" fontId="4" fillId="0" borderId="0" xfId="0" applyFont="1" applyBorder="1" applyAlignment="1">
      <alignment horizontal="left" indent="1"/>
    </xf>
    <xf numFmtId="0" fontId="0" fillId="0" borderId="0" xfId="0" applyFont="1" applyAlignment="1">
      <alignment/>
    </xf>
    <xf numFmtId="3" fontId="0" fillId="0" borderId="0" xfId="0" applyNumberFormat="1" applyAlignment="1">
      <alignment/>
    </xf>
    <xf numFmtId="0" fontId="0" fillId="0" borderId="0" xfId="0" applyFont="1" applyBorder="1" applyAlignment="1">
      <alignment/>
    </xf>
    <xf numFmtId="0" fontId="0" fillId="0" borderId="0" xfId="0" applyFont="1" applyBorder="1" applyAlignment="1" quotePrefix="1">
      <alignment horizontal="left"/>
    </xf>
    <xf numFmtId="0" fontId="0" fillId="0" borderId="11" xfId="0" applyFont="1" applyBorder="1" applyAlignment="1">
      <alignment/>
    </xf>
    <xf numFmtId="0" fontId="0" fillId="0" borderId="0" xfId="0" applyFont="1" applyBorder="1" applyAlignment="1">
      <alignment/>
    </xf>
    <xf numFmtId="0" fontId="4" fillId="0" borderId="0" xfId="0" applyFont="1" applyAlignment="1">
      <alignment/>
    </xf>
    <xf numFmtId="0" fontId="1" fillId="32" borderId="12" xfId="0" applyFont="1" applyFill="1" applyBorder="1" applyAlignment="1">
      <alignment vertical="center"/>
    </xf>
    <xf numFmtId="0" fontId="1" fillId="0" borderId="0" xfId="0" applyFont="1" applyAlignment="1">
      <alignment/>
    </xf>
    <xf numFmtId="0" fontId="10" fillId="0" borderId="0" xfId="0" applyFont="1" applyBorder="1" applyAlignment="1" quotePrefix="1">
      <alignment/>
    </xf>
    <xf numFmtId="0" fontId="10" fillId="0" borderId="0" xfId="0" applyFont="1" applyBorder="1" applyAlignment="1" quotePrefix="1">
      <alignment horizontal="left"/>
    </xf>
    <xf numFmtId="3" fontId="1" fillId="33" borderId="13" xfId="0" applyNumberFormat="1" applyFont="1" applyFill="1" applyBorder="1" applyAlignment="1">
      <alignment/>
    </xf>
    <xf numFmtId="0" fontId="0" fillId="0" borderId="0" xfId="0" applyFont="1" applyAlignment="1">
      <alignment wrapText="1"/>
    </xf>
    <xf numFmtId="0" fontId="0" fillId="0" borderId="0" xfId="0" applyFill="1" applyAlignment="1">
      <alignment/>
    </xf>
    <xf numFmtId="3" fontId="0" fillId="0" borderId="0" xfId="0" applyNumberFormat="1" applyFont="1" applyAlignment="1">
      <alignment/>
    </xf>
    <xf numFmtId="3" fontId="0" fillId="0" borderId="0" xfId="0" applyNumberFormat="1" applyFont="1" applyAlignment="1">
      <alignment horizontal="right"/>
    </xf>
    <xf numFmtId="0" fontId="0" fillId="0" borderId="0" xfId="0" applyFont="1" applyAlignment="1">
      <alignment horizontal="right"/>
    </xf>
    <xf numFmtId="0" fontId="11" fillId="0" borderId="0" xfId="0" applyFont="1" applyAlignment="1">
      <alignment/>
    </xf>
    <xf numFmtId="3" fontId="2" fillId="0" borderId="0" xfId="0" applyNumberFormat="1" applyFont="1" applyAlignment="1">
      <alignment/>
    </xf>
    <xf numFmtId="0" fontId="11" fillId="0" borderId="0" xfId="0" applyFont="1" applyAlignment="1">
      <alignment horizontal="left" vertical="center" wrapText="1" indent="1"/>
    </xf>
    <xf numFmtId="0" fontId="11" fillId="0" borderId="0" xfId="0" applyFont="1" applyAlignment="1">
      <alignment horizontal="left" vertical="center" wrapText="1" indent="4"/>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1" fillId="32" borderId="13" xfId="0" applyFont="1" applyFill="1" applyBorder="1" applyAlignment="1">
      <alignment/>
    </xf>
    <xf numFmtId="0" fontId="0" fillId="0" borderId="13" xfId="0" applyFont="1" applyBorder="1" applyAlignment="1">
      <alignment/>
    </xf>
    <xf numFmtId="0" fontId="2" fillId="0" borderId="13" xfId="0" applyFont="1" applyBorder="1" applyAlignment="1">
      <alignment/>
    </xf>
    <xf numFmtId="0" fontId="2" fillId="0" borderId="13" xfId="0" applyFont="1" applyFill="1" applyBorder="1" applyAlignment="1">
      <alignment/>
    </xf>
    <xf numFmtId="3" fontId="2" fillId="0" borderId="13" xfId="0" applyNumberFormat="1" applyFont="1" applyBorder="1" applyAlignment="1">
      <alignment/>
    </xf>
    <xf numFmtId="0" fontId="3" fillId="0" borderId="13" xfId="0" applyFont="1" applyBorder="1" applyAlignment="1">
      <alignment/>
    </xf>
    <xf numFmtId="3" fontId="0" fillId="0" borderId="13" xfId="0" applyNumberFormat="1" applyFont="1" applyBorder="1" applyAlignment="1">
      <alignment/>
    </xf>
    <xf numFmtId="3" fontId="0" fillId="0" borderId="13" xfId="0" applyNumberFormat="1" applyBorder="1" applyAlignment="1">
      <alignment/>
    </xf>
    <xf numFmtId="0" fontId="3" fillId="0" borderId="13" xfId="0" applyFont="1" applyBorder="1" applyAlignment="1">
      <alignment horizontal="right"/>
    </xf>
    <xf numFmtId="0" fontId="1" fillId="32" borderId="13" xfId="0" applyFont="1" applyFill="1" applyBorder="1" applyAlignment="1" quotePrefix="1">
      <alignment horizontal="right" vertical="center"/>
    </xf>
    <xf numFmtId="0" fontId="1" fillId="32" borderId="13" xfId="0" applyFont="1" applyFill="1" applyBorder="1" applyAlignment="1">
      <alignment vertical="center" wrapText="1"/>
    </xf>
    <xf numFmtId="0" fontId="1" fillId="32" borderId="13" xfId="0" applyFont="1" applyFill="1" applyBorder="1" applyAlignment="1">
      <alignment vertical="center"/>
    </xf>
    <xf numFmtId="0" fontId="2" fillId="32" borderId="13" xfId="0" applyFont="1" applyFill="1" applyBorder="1" applyAlignment="1">
      <alignment vertical="center"/>
    </xf>
    <xf numFmtId="0" fontId="2" fillId="32" borderId="13" xfId="0" applyFont="1" applyFill="1" applyBorder="1" applyAlignment="1">
      <alignment vertical="center" wrapText="1"/>
    </xf>
    <xf numFmtId="3" fontId="2" fillId="33" borderId="13" xfId="0" applyNumberFormat="1" applyFont="1" applyFill="1" applyBorder="1" applyAlignment="1">
      <alignment/>
    </xf>
    <xf numFmtId="0" fontId="2" fillId="0" borderId="13" xfId="0" applyFont="1" applyBorder="1" applyAlignment="1">
      <alignment vertical="center"/>
    </xf>
    <xf numFmtId="0" fontId="2" fillId="0" borderId="13" xfId="0" applyFont="1" applyBorder="1" applyAlignment="1">
      <alignment vertical="center" wrapText="1"/>
    </xf>
    <xf numFmtId="0" fontId="0" fillId="0" borderId="13" xfId="0" applyFont="1" applyBorder="1" applyAlignment="1">
      <alignment vertical="center"/>
    </xf>
    <xf numFmtId="0" fontId="0" fillId="0" borderId="13" xfId="0" applyFont="1" applyBorder="1" applyAlignment="1" quotePrefix="1">
      <alignment vertical="center" wrapText="1"/>
    </xf>
    <xf numFmtId="49" fontId="0" fillId="0" borderId="13" xfId="0" applyNumberFormat="1" applyFont="1" applyBorder="1" applyAlignment="1" quotePrefix="1">
      <alignment vertical="center" wrapText="1"/>
    </xf>
    <xf numFmtId="0" fontId="0" fillId="0" borderId="13" xfId="0" applyFont="1" applyBorder="1" applyAlignment="1">
      <alignment vertical="center" wrapText="1"/>
    </xf>
    <xf numFmtId="0" fontId="0" fillId="0" borderId="13" xfId="0" applyFont="1" applyBorder="1" applyAlignment="1">
      <alignment horizontal="right" vertical="center"/>
    </xf>
    <xf numFmtId="0" fontId="0" fillId="0" borderId="13" xfId="0" applyFont="1" applyFill="1" applyBorder="1" applyAlignment="1">
      <alignment vertical="center"/>
    </xf>
    <xf numFmtId="0" fontId="0" fillId="0" borderId="13" xfId="0" applyFont="1" applyFill="1" applyBorder="1" applyAlignment="1" quotePrefix="1">
      <alignment vertical="center" wrapText="1"/>
    </xf>
    <xf numFmtId="0" fontId="3" fillId="0" borderId="13" xfId="0" applyFont="1" applyBorder="1" applyAlignment="1">
      <alignment vertical="center"/>
    </xf>
    <xf numFmtId="0" fontId="0" fillId="0" borderId="13" xfId="0" applyFont="1" applyBorder="1" applyAlignment="1">
      <alignment horizontal="left" vertical="center"/>
    </xf>
    <xf numFmtId="0" fontId="0" fillId="0" borderId="13" xfId="0" applyFont="1" applyFill="1" applyBorder="1" applyAlignment="1">
      <alignment horizontal="left"/>
    </xf>
    <xf numFmtId="0" fontId="0" fillId="0" borderId="13" xfId="0" applyFont="1" applyFill="1" applyBorder="1" applyAlignment="1">
      <alignment/>
    </xf>
    <xf numFmtId="3" fontId="0" fillId="0" borderId="13" xfId="0" applyNumberFormat="1" applyFill="1" applyBorder="1" applyAlignment="1">
      <alignment/>
    </xf>
    <xf numFmtId="0" fontId="0" fillId="0" borderId="13" xfId="0" applyFont="1" applyBorder="1" applyAlignment="1" quotePrefix="1">
      <alignment horizontal="left"/>
    </xf>
    <xf numFmtId="0" fontId="0" fillId="0" borderId="13" xfId="0" applyFont="1" applyBorder="1" applyAlignment="1" quotePrefix="1">
      <alignment horizontal="left" vertical="center"/>
    </xf>
    <xf numFmtId="0" fontId="4" fillId="0" borderId="13" xfId="0" applyFont="1" applyBorder="1" applyAlignment="1">
      <alignment horizontal="left"/>
    </xf>
    <xf numFmtId="0" fontId="4" fillId="0" borderId="13" xfId="0" applyFont="1" applyBorder="1" applyAlignment="1" quotePrefix="1">
      <alignment horizontal="right"/>
    </xf>
    <xf numFmtId="0" fontId="4" fillId="0" borderId="13" xfId="0" applyFont="1" applyBorder="1" applyAlignment="1">
      <alignment horizontal="left" indent="1"/>
    </xf>
    <xf numFmtId="3" fontId="4" fillId="0" borderId="13" xfId="0" applyNumberFormat="1" applyFont="1" applyBorder="1" applyAlignment="1">
      <alignment/>
    </xf>
    <xf numFmtId="3" fontId="4" fillId="0" borderId="13" xfId="0" applyNumberFormat="1" applyFont="1" applyFill="1" applyBorder="1" applyAlignment="1">
      <alignment/>
    </xf>
    <xf numFmtId="0" fontId="7" fillId="32" borderId="13" xfId="0" applyFont="1" applyFill="1" applyBorder="1" applyAlignment="1">
      <alignment/>
    </xf>
    <xf numFmtId="0" fontId="7" fillId="0" borderId="13" xfId="0" applyFont="1" applyFill="1" applyBorder="1" applyAlignment="1">
      <alignment/>
    </xf>
    <xf numFmtId="0" fontId="0" fillId="0" borderId="13" xfId="0" applyFont="1" applyBorder="1" applyAlignment="1">
      <alignment horizontal="left"/>
    </xf>
    <xf numFmtId="0" fontId="9" fillId="0" borderId="13" xfId="0" applyFont="1" applyFill="1" applyBorder="1" applyAlignment="1">
      <alignment/>
    </xf>
    <xf numFmtId="0" fontId="0" fillId="0" borderId="13" xfId="0" applyFont="1" applyBorder="1" applyAlignment="1" quotePrefix="1">
      <alignment/>
    </xf>
    <xf numFmtId="0" fontId="0" fillId="0" borderId="13" xfId="0" applyFont="1" applyBorder="1" applyAlignment="1" quotePrefix="1">
      <alignment horizontal="left"/>
    </xf>
    <xf numFmtId="0" fontId="0" fillId="0" borderId="13" xfId="0" applyFont="1" applyBorder="1" applyAlignment="1">
      <alignment/>
    </xf>
    <xf numFmtId="0" fontId="8" fillId="33" borderId="13" xfId="0" applyFont="1" applyFill="1" applyBorder="1" applyAlignment="1">
      <alignment/>
    </xf>
    <xf numFmtId="0" fontId="8" fillId="32" borderId="13" xfId="0" applyFont="1" applyFill="1" applyBorder="1" applyAlignment="1">
      <alignment/>
    </xf>
    <xf numFmtId="3" fontId="8" fillId="32" borderId="13" xfId="0" applyNumberFormat="1" applyFont="1" applyFill="1" applyBorder="1" applyAlignment="1">
      <alignment/>
    </xf>
    <xf numFmtId="0" fontId="2" fillId="0" borderId="13" xfId="0" applyFont="1" applyBorder="1" applyAlignment="1">
      <alignment horizontal="right"/>
    </xf>
    <xf numFmtId="0" fontId="7" fillId="33" borderId="13" xfId="0" applyFont="1" applyFill="1" applyBorder="1" applyAlignment="1">
      <alignment/>
    </xf>
    <xf numFmtId="0" fontId="0" fillId="0" borderId="13" xfId="0" applyFont="1" applyFill="1" applyBorder="1" applyAlignment="1" quotePrefix="1">
      <alignment horizontal="left"/>
    </xf>
    <xf numFmtId="0" fontId="0" fillId="0" borderId="13" xfId="0" applyFont="1" applyBorder="1" applyAlignment="1" quotePrefix="1">
      <alignment/>
    </xf>
    <xf numFmtId="0" fontId="52" fillId="0" borderId="13" xfId="0" applyFont="1" applyBorder="1" applyAlignment="1">
      <alignment/>
    </xf>
    <xf numFmtId="0" fontId="0" fillId="0" borderId="13" xfId="0" applyFont="1" applyFill="1" applyBorder="1" applyAlignment="1" quotePrefix="1">
      <alignment/>
    </xf>
    <xf numFmtId="0" fontId="0" fillId="0" borderId="13" xfId="0" applyFont="1" applyBorder="1" applyAlignment="1">
      <alignment/>
    </xf>
    <xf numFmtId="14" fontId="2" fillId="0" borderId="13" xfId="0" applyNumberFormat="1" applyFont="1" applyBorder="1" applyAlignment="1" quotePrefix="1">
      <alignment horizontal="right"/>
    </xf>
    <xf numFmtId="14" fontId="2" fillId="0" borderId="13" xfId="0" applyNumberFormat="1" applyFont="1" applyBorder="1" applyAlignment="1" quotePrefix="1">
      <alignment/>
    </xf>
    <xf numFmtId="3" fontId="2" fillId="0" borderId="13" xfId="0" applyNumberFormat="1" applyFont="1" applyBorder="1" applyAlignment="1">
      <alignment horizontal="center" vertical="center" wrapText="1"/>
    </xf>
    <xf numFmtId="0" fontId="0" fillId="0" borderId="13" xfId="46" applyFont="1" applyBorder="1" applyAlignment="1" quotePrefix="1">
      <alignment vertical="center" wrapText="1"/>
      <protection/>
    </xf>
    <xf numFmtId="0" fontId="0" fillId="0" borderId="12" xfId="46" applyFont="1" applyBorder="1" applyAlignment="1">
      <alignment vertical="center"/>
      <protection/>
    </xf>
    <xf numFmtId="0" fontId="0" fillId="0" borderId="13" xfId="46" applyFont="1" applyBorder="1" applyAlignment="1">
      <alignment horizontal="right" vertical="center"/>
      <protection/>
    </xf>
    <xf numFmtId="0" fontId="0" fillId="0" borderId="12" xfId="46" applyFont="1" applyFill="1" applyBorder="1" applyAlignment="1">
      <alignment vertical="center"/>
      <protection/>
    </xf>
    <xf numFmtId="181" fontId="2" fillId="0" borderId="0" xfId="0" applyNumberFormat="1" applyFont="1" applyAlignment="1">
      <alignment/>
    </xf>
    <xf numFmtId="4" fontId="0" fillId="0" borderId="0" xfId="0" applyNumberFormat="1" applyFont="1" applyAlignment="1">
      <alignment/>
    </xf>
    <xf numFmtId="4" fontId="2" fillId="0" borderId="0" xfId="0" applyNumberFormat="1" applyFont="1" applyAlignment="1">
      <alignment/>
    </xf>
    <xf numFmtId="3" fontId="4" fillId="0" borderId="0" xfId="0" applyNumberFormat="1" applyFont="1" applyAlignment="1">
      <alignment/>
    </xf>
    <xf numFmtId="3" fontId="6" fillId="0" borderId="0" xfId="0" applyNumberFormat="1" applyFont="1" applyAlignment="1">
      <alignment/>
    </xf>
    <xf numFmtId="3" fontId="1" fillId="0" borderId="0" xfId="0" applyNumberFormat="1" applyFont="1" applyAlignment="1">
      <alignment/>
    </xf>
    <xf numFmtId="3" fontId="0" fillId="0" borderId="0" xfId="0" applyNumberFormat="1" applyFill="1" applyAlignment="1">
      <alignment/>
    </xf>
    <xf numFmtId="0" fontId="0" fillId="0" borderId="0" xfId="0" applyFill="1" applyBorder="1" applyAlignment="1">
      <alignment/>
    </xf>
    <xf numFmtId="0" fontId="0" fillId="0" borderId="13" xfId="0" applyFont="1" applyFill="1" applyBorder="1" applyAlignment="1" quotePrefix="1">
      <alignment horizontal="left"/>
    </xf>
    <xf numFmtId="3" fontId="0" fillId="0" borderId="0" xfId="0" applyNumberFormat="1" applyAlignment="1">
      <alignment wrapText="1"/>
    </xf>
    <xf numFmtId="3" fontId="0" fillId="0" borderId="0" xfId="0" applyNumberFormat="1" applyFont="1" applyAlignment="1">
      <alignment wrapText="1"/>
    </xf>
    <xf numFmtId="3" fontId="0" fillId="0" borderId="13" xfId="0" applyNumberFormat="1" applyFont="1" applyBorder="1" applyAlignment="1">
      <alignment wrapText="1"/>
    </xf>
    <xf numFmtId="14" fontId="0" fillId="0" borderId="13" xfId="0" applyNumberFormat="1" applyFont="1" applyBorder="1" applyAlignment="1" quotePrefix="1">
      <alignment horizontal="right"/>
    </xf>
    <xf numFmtId="14" fontId="0" fillId="0" borderId="13" xfId="0" applyNumberFormat="1" applyFont="1" applyBorder="1" applyAlignment="1" quotePrefix="1">
      <alignment/>
    </xf>
    <xf numFmtId="0" fontId="0" fillId="0" borderId="13" xfId="0" applyFont="1" applyBorder="1" applyAlignment="1">
      <alignment horizontal="right"/>
    </xf>
    <xf numFmtId="0" fontId="0" fillId="0" borderId="13" xfId="0" applyBorder="1" applyAlignment="1">
      <alignment/>
    </xf>
    <xf numFmtId="3" fontId="0" fillId="0" borderId="13" xfId="0" applyNumberFormat="1" applyBorder="1" applyAlignment="1">
      <alignment wrapText="1"/>
    </xf>
    <xf numFmtId="4" fontId="2" fillId="0" borderId="13" xfId="0" applyNumberFormat="1" applyFont="1" applyBorder="1" applyAlignment="1">
      <alignment/>
    </xf>
    <xf numFmtId="3" fontId="2" fillId="0" borderId="13" xfId="0" applyNumberFormat="1" applyFont="1" applyBorder="1" applyAlignment="1">
      <alignment wrapText="1"/>
    </xf>
    <xf numFmtId="4" fontId="0" fillId="0" borderId="13" xfId="0" applyNumberFormat="1" applyFont="1" applyBorder="1" applyAlignment="1">
      <alignment/>
    </xf>
    <xf numFmtId="0" fontId="0" fillId="0" borderId="13" xfId="0" applyBorder="1" applyAlignment="1">
      <alignment wrapText="1"/>
    </xf>
    <xf numFmtId="0" fontId="0" fillId="0" borderId="13" xfId="0" applyFont="1" applyBorder="1" applyAlignment="1">
      <alignment wrapText="1"/>
    </xf>
    <xf numFmtId="0" fontId="2" fillId="0" borderId="13" xfId="0" applyFont="1" applyBorder="1" applyAlignment="1">
      <alignment vertical="center"/>
    </xf>
    <xf numFmtId="3" fontId="0" fillId="0" borderId="0" xfId="0" applyNumberFormat="1" applyBorder="1" applyAlignment="1">
      <alignment/>
    </xf>
    <xf numFmtId="3" fontId="0" fillId="0" borderId="0" xfId="0" applyNumberFormat="1" applyFont="1" applyBorder="1" applyAlignment="1">
      <alignment wrapText="1"/>
    </xf>
    <xf numFmtId="3" fontId="0" fillId="0" borderId="14" xfId="0" applyNumberFormat="1" applyFont="1" applyBorder="1" applyAlignment="1">
      <alignment/>
    </xf>
    <xf numFmtId="0" fontId="0" fillId="0" borderId="0" xfId="0" applyFont="1" applyFill="1" applyAlignment="1">
      <alignment/>
    </xf>
    <xf numFmtId="0" fontId="0" fillId="0" borderId="0" xfId="0" applyFont="1" applyAlignment="1">
      <alignment horizontal="center"/>
    </xf>
    <xf numFmtId="182" fontId="0" fillId="0" borderId="0" xfId="0" applyNumberFormat="1" applyAlignment="1">
      <alignment wrapText="1"/>
    </xf>
    <xf numFmtId="9" fontId="2" fillId="0" borderId="0" xfId="0" applyNumberFormat="1" applyFont="1" applyAlignment="1">
      <alignment/>
    </xf>
    <xf numFmtId="174" fontId="0" fillId="0" borderId="0" xfId="0" applyNumberFormat="1" applyAlignment="1">
      <alignment/>
    </xf>
    <xf numFmtId="174" fontId="0" fillId="0" borderId="0" xfId="0" applyNumberFormat="1" applyFont="1" applyAlignment="1">
      <alignment/>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l 2"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nd" xfId="59"/>
    <cellStyle name="Currency" xfId="60"/>
    <cellStyle name="Currency [0]" xfId="61"/>
    <cellStyle name="Väljund" xfId="62"/>
    <cellStyle name="Üldpealkiri"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56"/>
  <sheetViews>
    <sheetView showZeros="0" tabSelected="1" zoomScalePageLayoutView="0" workbookViewId="0" topLeftCell="A1">
      <pane ySplit="5" topLeftCell="A216" activePane="bottomLeft" state="frozen"/>
      <selection pane="topLeft" activeCell="A1" sqref="A1"/>
      <selection pane="bottomLeft" activeCell="C186" sqref="C186"/>
    </sheetView>
  </sheetViews>
  <sheetFormatPr defaultColWidth="9.140625" defaultRowHeight="12.75"/>
  <cols>
    <col min="1" max="1" width="7.7109375" style="0" customWidth="1"/>
    <col min="2" max="2" width="6.00390625" style="0" bestFit="1" customWidth="1"/>
    <col min="3" max="3" width="54.7109375" style="0" customWidth="1"/>
    <col min="4" max="4" width="14.8515625" style="9" bestFit="1" customWidth="1"/>
    <col min="5" max="9" width="14.8515625" style="100" customWidth="1"/>
    <col min="10" max="10" width="9.140625" style="9" customWidth="1"/>
    <col min="11" max="11" width="10.28125" style="0" bestFit="1" customWidth="1"/>
    <col min="12" max="12" width="10.140625" style="0" bestFit="1" customWidth="1"/>
  </cols>
  <sheetData>
    <row r="1" spans="1:4" ht="15.75">
      <c r="A1" s="1" t="s">
        <v>189</v>
      </c>
      <c r="D1" s="22"/>
    </row>
    <row r="2" ht="12.75">
      <c r="D2" s="22"/>
    </row>
    <row r="3" spans="1:4" ht="15">
      <c r="A3" s="4" t="s">
        <v>10</v>
      </c>
      <c r="D3" s="22"/>
    </row>
    <row r="4" spans="1:4" ht="15">
      <c r="A4" s="4"/>
      <c r="D4" s="22"/>
    </row>
    <row r="5" spans="1:12" ht="38.25" customHeight="1">
      <c r="A5" s="29" t="s">
        <v>0</v>
      </c>
      <c r="B5" s="30" t="s">
        <v>153</v>
      </c>
      <c r="C5" s="29" t="s">
        <v>1</v>
      </c>
      <c r="D5" s="86" t="s">
        <v>202</v>
      </c>
      <c r="E5" s="86" t="s">
        <v>203</v>
      </c>
      <c r="F5" s="86" t="s">
        <v>204</v>
      </c>
      <c r="G5" s="86" t="s">
        <v>227</v>
      </c>
      <c r="H5" s="86" t="s">
        <v>208</v>
      </c>
      <c r="I5" s="86" t="s">
        <v>204</v>
      </c>
      <c r="L5" s="8"/>
    </row>
    <row r="6" spans="1:10" s="16" customFormat="1" ht="15.75">
      <c r="A6" s="31">
        <v>3</v>
      </c>
      <c r="B6" s="31"/>
      <c r="C6" s="31" t="s">
        <v>2</v>
      </c>
      <c r="D6" s="19">
        <f>D8+D12+D22+D27</f>
        <v>18815727.799999997</v>
      </c>
      <c r="E6" s="19"/>
      <c r="F6" s="19">
        <f>F8+F12+F22+F27</f>
        <v>18884682.799999997</v>
      </c>
      <c r="G6" s="19"/>
      <c r="H6" s="19"/>
      <c r="I6" s="19">
        <f>I8+I12+I22+I27</f>
        <v>19254776.799999997</v>
      </c>
      <c r="J6" s="96"/>
    </row>
    <row r="7" spans="1:9" ht="12.75">
      <c r="A7" s="32"/>
      <c r="B7" s="32"/>
      <c r="C7" s="32"/>
      <c r="D7" s="37"/>
      <c r="E7" s="37"/>
      <c r="F7" s="37"/>
      <c r="G7" s="37"/>
      <c r="H7" s="37"/>
      <c r="I7" s="37"/>
    </row>
    <row r="8" spans="1:14" s="3" customFormat="1" ht="12.75">
      <c r="A8" s="33">
        <v>30</v>
      </c>
      <c r="B8" s="33"/>
      <c r="C8" s="34" t="s">
        <v>3</v>
      </c>
      <c r="D8" s="35">
        <f>SUM(D9:D10)</f>
        <v>12125240.799999999</v>
      </c>
      <c r="E8" s="35"/>
      <c r="F8" s="35">
        <f>SUM(F9:F10)</f>
        <v>12125240.799999999</v>
      </c>
      <c r="G8" s="35"/>
      <c r="H8" s="35"/>
      <c r="I8" s="35">
        <f>SUM(I9:I10)</f>
        <v>12368878.799999999</v>
      </c>
      <c r="J8" s="26"/>
      <c r="K8" s="3" t="s">
        <v>242</v>
      </c>
      <c r="L8" s="3" t="s">
        <v>202</v>
      </c>
      <c r="M8" s="26"/>
      <c r="N8" s="120">
        <v>0.03</v>
      </c>
    </row>
    <row r="9" spans="1:15" ht="12.75">
      <c r="A9" s="36">
        <v>3000</v>
      </c>
      <c r="B9" s="36"/>
      <c r="C9" s="36" t="s">
        <v>4</v>
      </c>
      <c r="D9" s="59">
        <v>11250436.799999999</v>
      </c>
      <c r="E9" s="59"/>
      <c r="F9" s="59">
        <v>11250436.799999999</v>
      </c>
      <c r="G9" s="59"/>
      <c r="H9" s="59">
        <v>243638</v>
      </c>
      <c r="I9" s="59">
        <f>F9+H9</f>
        <v>11494074.799999999</v>
      </c>
      <c r="K9" s="22">
        <v>10763342</v>
      </c>
      <c r="L9" s="22">
        <f>K9*1.045255</f>
        <v>11250437.04221</v>
      </c>
      <c r="M9" s="121">
        <f>L9/K9</f>
        <v>1.045255</v>
      </c>
      <c r="N9" s="22">
        <f>K9*0.03</f>
        <v>322900.26</v>
      </c>
      <c r="O9" s="9"/>
    </row>
    <row r="10" spans="1:9" ht="12.75">
      <c r="A10" s="36">
        <v>3030</v>
      </c>
      <c r="B10" s="36"/>
      <c r="C10" s="36" t="s">
        <v>5</v>
      </c>
      <c r="D10" s="38">
        <v>874804</v>
      </c>
      <c r="E10" s="38"/>
      <c r="F10" s="38">
        <v>874804</v>
      </c>
      <c r="G10" s="38"/>
      <c r="H10" s="38"/>
      <c r="I10" s="38">
        <v>874804</v>
      </c>
    </row>
    <row r="11" spans="1:12" ht="12.75">
      <c r="A11" s="36"/>
      <c r="B11" s="36"/>
      <c r="C11" s="36"/>
      <c r="D11" s="38"/>
      <c r="E11" s="38"/>
      <c r="F11" s="38"/>
      <c r="G11" s="38"/>
      <c r="H11" s="38"/>
      <c r="I11" s="38"/>
      <c r="K11" s="8" t="s">
        <v>260</v>
      </c>
      <c r="L11" s="8" t="s">
        <v>261</v>
      </c>
    </row>
    <row r="12" spans="1:13" s="3" customFormat="1" ht="12.75">
      <c r="A12" s="33">
        <v>32</v>
      </c>
      <c r="B12" s="33"/>
      <c r="C12" s="33" t="s">
        <v>6</v>
      </c>
      <c r="D12" s="35">
        <f>SUM(D13:D20)</f>
        <v>825200</v>
      </c>
      <c r="E12" s="35"/>
      <c r="F12" s="35">
        <f>SUM(F13:F20)</f>
        <v>825200</v>
      </c>
      <c r="G12" s="35"/>
      <c r="H12" s="35"/>
      <c r="I12" s="35">
        <f>SUM(I13:I20)</f>
        <v>825200</v>
      </c>
      <c r="J12" s="26"/>
      <c r="K12" s="22">
        <v>4393763</v>
      </c>
      <c r="L12" s="22">
        <v>4724923</v>
      </c>
      <c r="M12" s="122">
        <f>L12/K12</f>
        <v>1.0753704740105463</v>
      </c>
    </row>
    <row r="13" spans="1:13" ht="12.75">
      <c r="A13" s="36">
        <v>320</v>
      </c>
      <c r="B13" s="36"/>
      <c r="C13" s="36" t="s">
        <v>7</v>
      </c>
      <c r="D13" s="38">
        <v>23000</v>
      </c>
      <c r="E13" s="38"/>
      <c r="F13" s="38">
        <v>23000</v>
      </c>
      <c r="G13" s="38"/>
      <c r="H13" s="38"/>
      <c r="I13" s="38">
        <v>23000</v>
      </c>
      <c r="K13" s="8" t="s">
        <v>216</v>
      </c>
      <c r="M13" s="121">
        <f>M12-M9</f>
        <v>0.03011547401054626</v>
      </c>
    </row>
    <row r="14" spans="1:9" ht="12.75">
      <c r="A14" s="39">
        <v>322</v>
      </c>
      <c r="B14" s="36"/>
      <c r="C14" s="36" t="s">
        <v>219</v>
      </c>
      <c r="D14" s="38">
        <v>347000</v>
      </c>
      <c r="E14" s="38"/>
      <c r="F14" s="38">
        <v>347000</v>
      </c>
      <c r="G14" s="38"/>
      <c r="H14" s="38"/>
      <c r="I14" s="38">
        <v>347000</v>
      </c>
    </row>
    <row r="15" spans="1:9" ht="12.75">
      <c r="A15" s="39">
        <v>322</v>
      </c>
      <c r="B15" s="36"/>
      <c r="C15" s="36" t="s">
        <v>190</v>
      </c>
      <c r="D15" s="38">
        <f>140000+100000</f>
        <v>240000</v>
      </c>
      <c r="E15" s="38"/>
      <c r="F15" s="38">
        <f>140000+100000</f>
        <v>240000</v>
      </c>
      <c r="G15" s="38"/>
      <c r="H15" s="38"/>
      <c r="I15" s="38">
        <f>140000+100000</f>
        <v>240000</v>
      </c>
    </row>
    <row r="16" spans="1:9" ht="12.75">
      <c r="A16" s="39">
        <v>322</v>
      </c>
      <c r="B16" s="36"/>
      <c r="C16" s="36" t="s">
        <v>154</v>
      </c>
      <c r="D16" s="38">
        <v>14200</v>
      </c>
      <c r="E16" s="38"/>
      <c r="F16" s="38">
        <v>14200</v>
      </c>
      <c r="G16" s="38"/>
      <c r="H16" s="38"/>
      <c r="I16" s="38">
        <v>14200</v>
      </c>
    </row>
    <row r="17" spans="1:9" ht="12.75">
      <c r="A17" s="39">
        <v>322</v>
      </c>
      <c r="B17" s="36"/>
      <c r="C17" s="36" t="s">
        <v>155</v>
      </c>
      <c r="D17" s="38">
        <v>29000</v>
      </c>
      <c r="E17" s="38"/>
      <c r="F17" s="38">
        <v>29000</v>
      </c>
      <c r="G17" s="38"/>
      <c r="H17" s="38"/>
      <c r="I17" s="38">
        <v>29000</v>
      </c>
    </row>
    <row r="18" spans="1:9" ht="12.75">
      <c r="A18" s="39">
        <v>322</v>
      </c>
      <c r="B18" s="36"/>
      <c r="C18" s="36" t="s">
        <v>77</v>
      </c>
      <c r="D18" s="38">
        <v>130000</v>
      </c>
      <c r="E18" s="38"/>
      <c r="F18" s="38">
        <v>130000</v>
      </c>
      <c r="G18" s="38"/>
      <c r="H18" s="38"/>
      <c r="I18" s="38">
        <v>130000</v>
      </c>
    </row>
    <row r="19" spans="1:9" ht="12.75">
      <c r="A19" s="39">
        <v>322</v>
      </c>
      <c r="B19" s="36"/>
      <c r="C19" s="36" t="s">
        <v>156</v>
      </c>
      <c r="D19" s="38">
        <v>12000</v>
      </c>
      <c r="E19" s="38"/>
      <c r="F19" s="38">
        <v>12000</v>
      </c>
      <c r="G19" s="38"/>
      <c r="H19" s="38"/>
      <c r="I19" s="38">
        <v>12000</v>
      </c>
    </row>
    <row r="20" spans="1:9" ht="12.75">
      <c r="A20" s="39">
        <v>322</v>
      </c>
      <c r="B20" s="36"/>
      <c r="C20" s="36" t="s">
        <v>220</v>
      </c>
      <c r="D20" s="38">
        <v>30000</v>
      </c>
      <c r="E20" s="38"/>
      <c r="F20" s="38">
        <v>30000</v>
      </c>
      <c r="G20" s="38"/>
      <c r="H20" s="38"/>
      <c r="I20" s="38">
        <v>30000</v>
      </c>
    </row>
    <row r="21" spans="1:9" ht="12.75">
      <c r="A21" s="36"/>
      <c r="B21" s="36"/>
      <c r="C21" s="36"/>
      <c r="D21" s="38"/>
      <c r="E21" s="38"/>
      <c r="F21" s="38"/>
      <c r="G21" s="38"/>
      <c r="H21" s="38"/>
      <c r="I21" s="38"/>
    </row>
    <row r="22" spans="1:10" s="3" customFormat="1" ht="12.75">
      <c r="A22" s="33">
        <v>35</v>
      </c>
      <c r="B22" s="33"/>
      <c r="C22" s="33" t="s">
        <v>8</v>
      </c>
      <c r="D22" s="35">
        <f>SUM(D23:D25)</f>
        <v>5750287</v>
      </c>
      <c r="E22" s="35">
        <f>SUM(E23:E25)</f>
        <v>68955</v>
      </c>
      <c r="F22" s="35">
        <f>SUM(F23:F25)</f>
        <v>5819242</v>
      </c>
      <c r="G22" s="35"/>
      <c r="H22" s="35">
        <f>SUM(H23:H25)</f>
        <v>46456</v>
      </c>
      <c r="I22" s="35">
        <f>SUM(I23:I25)</f>
        <v>5865698</v>
      </c>
      <c r="J22" s="26"/>
    </row>
    <row r="23" spans="1:9" ht="12.75">
      <c r="A23" s="39">
        <v>35200</v>
      </c>
      <c r="B23" s="36"/>
      <c r="C23" s="36" t="s">
        <v>104</v>
      </c>
      <c r="D23" s="38">
        <v>5243415</v>
      </c>
      <c r="E23" s="38">
        <v>47981</v>
      </c>
      <c r="F23" s="38">
        <f>D23+E23</f>
        <v>5291396</v>
      </c>
      <c r="G23" s="38"/>
      <c r="H23" s="38"/>
      <c r="I23" s="38">
        <f>F23+H23</f>
        <v>5291396</v>
      </c>
    </row>
    <row r="24" spans="1:9" ht="12.75">
      <c r="A24" s="39">
        <v>35201</v>
      </c>
      <c r="B24" s="36"/>
      <c r="C24" s="36" t="s">
        <v>103</v>
      </c>
      <c r="D24" s="38">
        <v>406872</v>
      </c>
      <c r="E24" s="38">
        <v>20974</v>
      </c>
      <c r="F24" s="38">
        <f>D24+E24</f>
        <v>427846</v>
      </c>
      <c r="G24" s="38"/>
      <c r="H24" s="38"/>
      <c r="I24" s="38">
        <f>F24+H24</f>
        <v>427846</v>
      </c>
    </row>
    <row r="25" spans="1:10" ht="12.75">
      <c r="A25" s="39">
        <v>350</v>
      </c>
      <c r="B25" s="36"/>
      <c r="C25" s="36" t="s">
        <v>213</v>
      </c>
      <c r="D25" s="38">
        <v>100000</v>
      </c>
      <c r="E25" s="38"/>
      <c r="F25" s="38">
        <v>100000</v>
      </c>
      <c r="G25" s="38"/>
      <c r="H25" s="38">
        <f>15000+31456</f>
        <v>46456</v>
      </c>
      <c r="I25" s="38">
        <f>F25+H25</f>
        <v>146456</v>
      </c>
      <c r="J25" s="22" t="s">
        <v>225</v>
      </c>
    </row>
    <row r="26" spans="1:9" ht="12.75">
      <c r="A26" s="36"/>
      <c r="B26" s="36"/>
      <c r="C26" s="36"/>
      <c r="D26" s="38"/>
      <c r="E26" s="38"/>
      <c r="F26" s="38"/>
      <c r="G26" s="38"/>
      <c r="H26" s="38"/>
      <c r="I26" s="38"/>
    </row>
    <row r="27" spans="1:10" s="3" customFormat="1" ht="12.75">
      <c r="A27" s="33">
        <v>38</v>
      </c>
      <c r="B27" s="33"/>
      <c r="C27" s="33" t="s">
        <v>233</v>
      </c>
      <c r="D27" s="35">
        <v>115000</v>
      </c>
      <c r="E27" s="35"/>
      <c r="F27" s="35">
        <v>115000</v>
      </c>
      <c r="G27" s="35"/>
      <c r="H27" s="35">
        <v>80000</v>
      </c>
      <c r="I27" s="35">
        <f>F27+G27+H27</f>
        <v>195000</v>
      </c>
      <c r="J27" s="22" t="s">
        <v>245</v>
      </c>
    </row>
    <row r="28" ht="12.75"/>
    <row r="29" ht="12.75"/>
    <row r="30" ht="15">
      <c r="A30" s="4" t="s">
        <v>11</v>
      </c>
    </row>
    <row r="31" ht="15">
      <c r="A31" s="4"/>
    </row>
    <row r="32" spans="1:9" ht="25.5">
      <c r="A32" s="2" t="str">
        <f>A$5</f>
        <v>Artikkel</v>
      </c>
      <c r="B32" s="2" t="str">
        <f>B$5</f>
        <v>TA</v>
      </c>
      <c r="C32" s="2" t="str">
        <f>C$5</f>
        <v>Kirjeldus</v>
      </c>
      <c r="D32" s="86" t="str">
        <f>D$5</f>
        <v>2019 eelarve</v>
      </c>
      <c r="E32" s="86"/>
      <c r="F32" s="86" t="str">
        <f>F$5</f>
        <v>2019 lõplik eelarve</v>
      </c>
      <c r="G32" s="86"/>
      <c r="H32" s="86"/>
      <c r="I32" s="86" t="str">
        <f>I$5</f>
        <v>2019 lõplik eelarve</v>
      </c>
    </row>
    <row r="33" spans="1:10" s="16" customFormat="1" ht="15.75">
      <c r="A33" s="40" t="s">
        <v>12</v>
      </c>
      <c r="B33" s="41"/>
      <c r="C33" s="42" t="s">
        <v>13</v>
      </c>
      <c r="D33" s="19">
        <f>D34+D58+D100+D161</f>
        <v>17824107.9</v>
      </c>
      <c r="E33" s="19"/>
      <c r="F33" s="19">
        <f>F34+F58+F100+F161</f>
        <v>17868062.9</v>
      </c>
      <c r="G33" s="19"/>
      <c r="H33" s="19">
        <f>H34+H58+H100+H161</f>
        <v>180199.2</v>
      </c>
      <c r="I33" s="19">
        <f>I34+I58+I100+I161</f>
        <v>18052669.1</v>
      </c>
      <c r="J33" s="96"/>
    </row>
    <row r="34" spans="1:10" s="3" customFormat="1" ht="12.75">
      <c r="A34" s="43">
        <v>4</v>
      </c>
      <c r="B34" s="44"/>
      <c r="C34" s="43" t="s">
        <v>14</v>
      </c>
      <c r="D34" s="45">
        <f>SUM(D35:D56)</f>
        <v>1384200</v>
      </c>
      <c r="E34" s="45"/>
      <c r="F34" s="45">
        <f>SUM(F35:F56)</f>
        <v>1384200</v>
      </c>
      <c r="G34" s="45"/>
      <c r="H34" s="45">
        <f>SUM(H35:H56)</f>
        <v>51000</v>
      </c>
      <c r="I34" s="45">
        <f>SUM(I35:I56)</f>
        <v>1435200</v>
      </c>
      <c r="J34" s="26"/>
    </row>
    <row r="35" spans="1:9" ht="12.75">
      <c r="A35" s="46"/>
      <c r="B35" s="47"/>
      <c r="C35" s="46"/>
      <c r="D35" s="38"/>
      <c r="E35" s="38"/>
      <c r="F35" s="38"/>
      <c r="G35" s="38"/>
      <c r="H35" s="38"/>
      <c r="I35" s="38"/>
    </row>
    <row r="36" spans="1:12" ht="25.5">
      <c r="A36" s="48">
        <v>4130</v>
      </c>
      <c r="B36" s="49" t="s">
        <v>15</v>
      </c>
      <c r="C36" s="48" t="s">
        <v>16</v>
      </c>
      <c r="D36" s="38">
        <v>75000</v>
      </c>
      <c r="E36" s="38"/>
      <c r="F36" s="38">
        <v>75000</v>
      </c>
      <c r="G36" s="38"/>
      <c r="H36" s="38"/>
      <c r="I36" s="38">
        <v>75000</v>
      </c>
      <c r="L36" s="21"/>
    </row>
    <row r="37" spans="1:12" ht="25.5">
      <c r="A37" s="48">
        <v>4131</v>
      </c>
      <c r="B37" s="49" t="s">
        <v>17</v>
      </c>
      <c r="C37" s="48" t="s">
        <v>18</v>
      </c>
      <c r="D37" s="38">
        <v>515000</v>
      </c>
      <c r="E37" s="38"/>
      <c r="F37" s="38">
        <v>515000</v>
      </c>
      <c r="G37" s="38"/>
      <c r="H37" s="38"/>
      <c r="I37" s="38">
        <v>515000</v>
      </c>
      <c r="L37" s="21"/>
    </row>
    <row r="38" spans="1:12" ht="25.5">
      <c r="A38" s="48">
        <v>4133</v>
      </c>
      <c r="B38" s="49" t="s">
        <v>19</v>
      </c>
      <c r="C38" s="48" t="s">
        <v>111</v>
      </c>
      <c r="D38" s="38">
        <v>87000</v>
      </c>
      <c r="E38" s="38"/>
      <c r="F38" s="38">
        <v>87000</v>
      </c>
      <c r="G38" s="38"/>
      <c r="H38" s="38"/>
      <c r="I38" s="38">
        <v>87000</v>
      </c>
      <c r="L38" s="21"/>
    </row>
    <row r="39" spans="1:12" ht="25.5">
      <c r="A39" s="48">
        <v>4134</v>
      </c>
      <c r="B39" s="87" t="s">
        <v>28</v>
      </c>
      <c r="C39" s="88" t="s">
        <v>74</v>
      </c>
      <c r="D39" s="38">
        <v>30000</v>
      </c>
      <c r="E39" s="38"/>
      <c r="F39" s="38">
        <v>30000</v>
      </c>
      <c r="G39" s="38"/>
      <c r="H39" s="38">
        <v>30000</v>
      </c>
      <c r="I39" s="38">
        <f>F39+H39</f>
        <v>60000</v>
      </c>
      <c r="J39" s="22" t="s">
        <v>226</v>
      </c>
      <c r="L39" s="21"/>
    </row>
    <row r="40" spans="1:12" ht="25.5">
      <c r="A40" s="48">
        <v>4134</v>
      </c>
      <c r="B40" s="87" t="s">
        <v>149</v>
      </c>
      <c r="C40" s="88" t="s">
        <v>150</v>
      </c>
      <c r="D40" s="38">
        <v>10000</v>
      </c>
      <c r="E40" s="38"/>
      <c r="F40" s="38">
        <v>10000</v>
      </c>
      <c r="G40" s="38"/>
      <c r="H40" s="38"/>
      <c r="I40" s="38">
        <v>10000</v>
      </c>
      <c r="L40" s="21"/>
    </row>
    <row r="41" spans="1:13" ht="25.5">
      <c r="A41" s="48">
        <v>4134</v>
      </c>
      <c r="B41" s="49" t="s">
        <v>81</v>
      </c>
      <c r="C41" s="48" t="s">
        <v>82</v>
      </c>
      <c r="D41" s="38">
        <v>20000</v>
      </c>
      <c r="E41" s="38"/>
      <c r="F41" s="38">
        <v>20000</v>
      </c>
      <c r="G41" s="38"/>
      <c r="H41" s="38"/>
      <c r="I41" s="38">
        <v>20000</v>
      </c>
      <c r="L41" s="21"/>
      <c r="M41" s="21"/>
    </row>
    <row r="42" spans="1:13" ht="25.5">
      <c r="A42" s="48">
        <v>4138</v>
      </c>
      <c r="B42" s="49" t="s">
        <v>20</v>
      </c>
      <c r="C42" s="48" t="s">
        <v>21</v>
      </c>
      <c r="D42" s="38">
        <v>130000</v>
      </c>
      <c r="E42" s="38"/>
      <c r="F42" s="38">
        <v>130000</v>
      </c>
      <c r="G42" s="38"/>
      <c r="H42" s="38"/>
      <c r="I42" s="38">
        <v>130000</v>
      </c>
      <c r="L42" s="21"/>
      <c r="M42" s="21"/>
    </row>
    <row r="43" spans="1:13" ht="25.5">
      <c r="A43" s="48">
        <v>4138</v>
      </c>
      <c r="B43" s="50" t="s">
        <v>38</v>
      </c>
      <c r="C43" s="48" t="s">
        <v>124</v>
      </c>
      <c r="D43" s="38">
        <v>15000</v>
      </c>
      <c r="E43" s="38"/>
      <c r="F43" s="38">
        <v>15000</v>
      </c>
      <c r="G43" s="38"/>
      <c r="H43" s="38"/>
      <c r="I43" s="38">
        <v>15000</v>
      </c>
      <c r="L43" s="21"/>
      <c r="M43" s="21"/>
    </row>
    <row r="44" spans="1:13" ht="25.5">
      <c r="A44" s="48">
        <v>4137</v>
      </c>
      <c r="B44" s="49" t="s">
        <v>20</v>
      </c>
      <c r="C44" s="48" t="s">
        <v>22</v>
      </c>
      <c r="D44" s="38">
        <v>28000</v>
      </c>
      <c r="E44" s="38"/>
      <c r="F44" s="38">
        <v>28000</v>
      </c>
      <c r="G44" s="38"/>
      <c r="H44" s="38"/>
      <c r="I44" s="38">
        <v>28000</v>
      </c>
      <c r="L44" s="21"/>
      <c r="M44" s="21"/>
    </row>
    <row r="45" spans="1:13" ht="25.5">
      <c r="A45" s="48">
        <v>4139</v>
      </c>
      <c r="B45" s="49" t="s">
        <v>26</v>
      </c>
      <c r="C45" s="48" t="s">
        <v>147</v>
      </c>
      <c r="D45" s="38">
        <v>10000</v>
      </c>
      <c r="E45" s="38"/>
      <c r="F45" s="38">
        <v>10000</v>
      </c>
      <c r="G45" s="38"/>
      <c r="H45" s="38"/>
      <c r="I45" s="38">
        <v>10000</v>
      </c>
      <c r="L45" s="98"/>
      <c r="M45" s="98"/>
    </row>
    <row r="46" spans="1:13" ht="25.5">
      <c r="A46" s="48">
        <v>4139</v>
      </c>
      <c r="B46" s="49" t="s">
        <v>62</v>
      </c>
      <c r="C46" s="48" t="s">
        <v>148</v>
      </c>
      <c r="D46" s="38">
        <v>1000</v>
      </c>
      <c r="E46" s="38"/>
      <c r="F46" s="38">
        <v>1000</v>
      </c>
      <c r="G46" s="38"/>
      <c r="H46" s="38"/>
      <c r="I46" s="38">
        <v>1000</v>
      </c>
      <c r="L46" s="98"/>
      <c r="M46" s="98"/>
    </row>
    <row r="47" spans="1:9" ht="12.75">
      <c r="A47" s="48"/>
      <c r="B47" s="51"/>
      <c r="C47" s="48"/>
      <c r="D47" s="38"/>
      <c r="E47" s="38"/>
      <c r="F47" s="38"/>
      <c r="G47" s="38"/>
      <c r="H47" s="38"/>
      <c r="I47" s="38"/>
    </row>
    <row r="48" spans="1:13" ht="25.5">
      <c r="A48" s="89">
        <v>4500</v>
      </c>
      <c r="B48" s="87" t="s">
        <v>57</v>
      </c>
      <c r="C48" s="90" t="s">
        <v>151</v>
      </c>
      <c r="D48" s="38">
        <v>68000</v>
      </c>
      <c r="E48" s="38"/>
      <c r="F48" s="38">
        <v>68000</v>
      </c>
      <c r="G48" s="38"/>
      <c r="H48" s="38"/>
      <c r="I48" s="38">
        <v>68000</v>
      </c>
      <c r="L48" s="98"/>
      <c r="M48" s="98"/>
    </row>
    <row r="49" spans="1:13" ht="25.5">
      <c r="A49" s="52">
        <v>4500</v>
      </c>
      <c r="B49" s="49" t="s">
        <v>69</v>
      </c>
      <c r="C49" s="53" t="s">
        <v>66</v>
      </c>
      <c r="D49" s="38">
        <v>7200</v>
      </c>
      <c r="E49" s="38"/>
      <c r="F49" s="38">
        <v>7200</v>
      </c>
      <c r="G49" s="38"/>
      <c r="H49" s="38"/>
      <c r="I49" s="38">
        <v>7200</v>
      </c>
      <c r="L49" s="98"/>
      <c r="M49" s="98"/>
    </row>
    <row r="50" spans="1:13" ht="25.5">
      <c r="A50" s="52">
        <v>4500</v>
      </c>
      <c r="B50" s="50" t="s">
        <v>38</v>
      </c>
      <c r="C50" s="53" t="s">
        <v>152</v>
      </c>
      <c r="D50" s="38">
        <v>244000</v>
      </c>
      <c r="E50" s="38"/>
      <c r="F50" s="38">
        <v>244000</v>
      </c>
      <c r="G50" s="38"/>
      <c r="H50" s="38">
        <v>20000</v>
      </c>
      <c r="I50" s="38">
        <f>F50+H50</f>
        <v>264000</v>
      </c>
      <c r="J50" s="9" t="s">
        <v>258</v>
      </c>
      <c r="L50" s="98"/>
      <c r="M50" s="98"/>
    </row>
    <row r="51" spans="1:13" ht="25.5">
      <c r="A51" s="52">
        <v>4500</v>
      </c>
      <c r="B51" s="49" t="s">
        <v>23</v>
      </c>
      <c r="C51" s="53" t="s">
        <v>67</v>
      </c>
      <c r="D51" s="38">
        <v>50000</v>
      </c>
      <c r="E51" s="38"/>
      <c r="F51" s="38">
        <v>50000</v>
      </c>
      <c r="G51" s="38"/>
      <c r="H51" s="38"/>
      <c r="I51" s="38">
        <v>50000</v>
      </c>
      <c r="L51" s="98"/>
      <c r="M51" s="98"/>
    </row>
    <row r="52" spans="1:13" ht="25.5">
      <c r="A52" s="52">
        <v>4500</v>
      </c>
      <c r="B52" s="54" t="s">
        <v>146</v>
      </c>
      <c r="C52" s="53" t="s">
        <v>68</v>
      </c>
      <c r="D52" s="38">
        <f>35000+10000</f>
        <v>45000</v>
      </c>
      <c r="E52" s="38"/>
      <c r="F52" s="38">
        <f>35000+10000</f>
        <v>45000</v>
      </c>
      <c r="G52" s="38"/>
      <c r="H52" s="38">
        <v>1000</v>
      </c>
      <c r="I52" s="38">
        <f>F52+H52</f>
        <v>46000</v>
      </c>
      <c r="J52" s="9" t="s">
        <v>259</v>
      </c>
      <c r="L52" s="98"/>
      <c r="M52" s="98"/>
    </row>
    <row r="53" spans="1:9" ht="12.75">
      <c r="A53" s="52"/>
      <c r="B53" s="54"/>
      <c r="C53" s="53"/>
      <c r="D53" s="38"/>
      <c r="E53" s="38"/>
      <c r="F53" s="38"/>
      <c r="G53" s="38"/>
      <c r="H53" s="38"/>
      <c r="I53" s="38"/>
    </row>
    <row r="54" spans="1:13" ht="25.5">
      <c r="A54" s="52">
        <v>4528</v>
      </c>
      <c r="B54" s="49" t="s">
        <v>26</v>
      </c>
      <c r="C54" s="53" t="s">
        <v>71</v>
      </c>
      <c r="D54" s="38">
        <v>36000</v>
      </c>
      <c r="E54" s="38"/>
      <c r="F54" s="38">
        <v>36000</v>
      </c>
      <c r="G54" s="38"/>
      <c r="H54" s="38"/>
      <c r="I54" s="38">
        <v>36000</v>
      </c>
      <c r="L54" s="98"/>
      <c r="M54" s="98"/>
    </row>
    <row r="55" spans="1:13" ht="25.5">
      <c r="A55" s="52">
        <v>4528</v>
      </c>
      <c r="B55" s="49" t="s">
        <v>57</v>
      </c>
      <c r="C55" s="53" t="s">
        <v>72</v>
      </c>
      <c r="D55" s="38">
        <v>9000</v>
      </c>
      <c r="E55" s="38"/>
      <c r="F55" s="38">
        <v>9000</v>
      </c>
      <c r="G55" s="38"/>
      <c r="H55" s="38"/>
      <c r="I55" s="38">
        <v>9000</v>
      </c>
      <c r="L55" s="98"/>
      <c r="M55" s="98"/>
    </row>
    <row r="56" spans="1:13" ht="25.5">
      <c r="A56" s="52">
        <v>4528</v>
      </c>
      <c r="B56" s="54" t="s">
        <v>34</v>
      </c>
      <c r="C56" s="53" t="s">
        <v>119</v>
      </c>
      <c r="D56" s="38">
        <v>4000</v>
      </c>
      <c r="E56" s="38"/>
      <c r="F56" s="38">
        <v>4000</v>
      </c>
      <c r="G56" s="38"/>
      <c r="H56" s="38"/>
      <c r="I56" s="38">
        <v>4000</v>
      </c>
      <c r="L56" s="98"/>
      <c r="M56" s="98"/>
    </row>
    <row r="57" spans="1:9" ht="12.75">
      <c r="A57" s="55"/>
      <c r="B57" s="51"/>
      <c r="C57" s="48"/>
      <c r="D57" s="38"/>
      <c r="E57" s="38"/>
      <c r="F57" s="38"/>
      <c r="G57" s="38"/>
      <c r="H57" s="38"/>
      <c r="I57" s="38"/>
    </row>
    <row r="58" spans="1:10" s="3" customFormat="1" ht="12.75">
      <c r="A58" s="43">
        <v>50</v>
      </c>
      <c r="B58" s="44"/>
      <c r="C58" s="43" t="s">
        <v>24</v>
      </c>
      <c r="D58" s="45">
        <f>D60+D61+D62+D63+D66+D67+D70+D81+D92+D93+D96+D97+D98</f>
        <v>10245172.24</v>
      </c>
      <c r="E58" s="45"/>
      <c r="F58" s="45">
        <f>F60+F61+F62+F63+F66+F67+F70+F81+F92+F93+F96+F97+F98</f>
        <v>10245172.24</v>
      </c>
      <c r="G58" s="45"/>
      <c r="H58" s="45">
        <f>H60+H61+H62+H63+H66+H67+H70+H81+H92+H93+H96+H97+H98</f>
        <v>21156</v>
      </c>
      <c r="I58" s="45">
        <f>I60+I61+I62+I63+I66+I67+I70+I81+I92+I93+I96+I97+I98</f>
        <v>10266328.24</v>
      </c>
      <c r="J58" s="26"/>
    </row>
    <row r="59" spans="1:9" ht="12.75">
      <c r="A59" s="46"/>
      <c r="B59" s="47"/>
      <c r="C59" s="46"/>
      <c r="D59" s="38"/>
      <c r="E59" s="38"/>
      <c r="F59" s="38"/>
      <c r="G59" s="38"/>
      <c r="H59" s="38"/>
      <c r="I59" s="38"/>
    </row>
    <row r="60" spans="1:9" ht="12.75">
      <c r="A60" s="56"/>
      <c r="B60" s="56" t="s">
        <v>25</v>
      </c>
      <c r="C60" s="48" t="s">
        <v>83</v>
      </c>
      <c r="D60" s="38">
        <v>151084</v>
      </c>
      <c r="E60" s="38"/>
      <c r="F60" s="38">
        <v>151084</v>
      </c>
      <c r="G60" s="38"/>
      <c r="H60" s="38"/>
      <c r="I60" s="38">
        <v>151084</v>
      </c>
    </row>
    <row r="61" spans="1:19" ht="12.75">
      <c r="A61" s="56"/>
      <c r="B61" s="56" t="s">
        <v>26</v>
      </c>
      <c r="C61" s="48" t="s">
        <v>84</v>
      </c>
      <c r="D61" s="38">
        <f>1639000*1.05</f>
        <v>1720950</v>
      </c>
      <c r="E61" s="38"/>
      <c r="F61" s="38">
        <f>1639000*1.05</f>
        <v>1720950</v>
      </c>
      <c r="G61" s="38"/>
      <c r="H61" s="38">
        <f>31456+6700+8697</f>
        <v>46853</v>
      </c>
      <c r="I61" s="38">
        <f>F61+H61</f>
        <v>1767803</v>
      </c>
      <c r="J61" s="22" t="s">
        <v>229</v>
      </c>
      <c r="S61" s="8" t="s">
        <v>224</v>
      </c>
    </row>
    <row r="62" spans="1:9" ht="12.75">
      <c r="A62" s="56"/>
      <c r="B62" s="60" t="s">
        <v>23</v>
      </c>
      <c r="C62" s="32" t="s">
        <v>177</v>
      </c>
      <c r="D62" s="38">
        <v>105000</v>
      </c>
      <c r="E62" s="38"/>
      <c r="F62" s="38">
        <v>105000</v>
      </c>
      <c r="G62" s="38"/>
      <c r="H62" s="38"/>
      <c r="I62" s="38">
        <v>105000</v>
      </c>
    </row>
    <row r="63" spans="1:9" ht="12.75">
      <c r="A63" s="56"/>
      <c r="B63" s="61" t="s">
        <v>97</v>
      </c>
      <c r="C63" s="48" t="s">
        <v>98</v>
      </c>
      <c r="D63" s="38">
        <f>SUM(D64:D65)</f>
        <v>153100</v>
      </c>
      <c r="E63" s="38"/>
      <c r="F63" s="38">
        <f>SUM(F64:F65)</f>
        <v>153100</v>
      </c>
      <c r="G63" s="38"/>
      <c r="H63" s="38">
        <f>SUM(H64:H65)</f>
        <v>7574</v>
      </c>
      <c r="I63" s="38">
        <f>SUM(I64:I65)</f>
        <v>160674</v>
      </c>
    </row>
    <row r="64" spans="1:10" ht="12.75">
      <c r="A64" s="56"/>
      <c r="B64" s="63" t="s">
        <v>97</v>
      </c>
      <c r="C64" s="64" t="s">
        <v>184</v>
      </c>
      <c r="D64" s="65">
        <v>76800</v>
      </c>
      <c r="E64" s="65"/>
      <c r="F64" s="65">
        <v>76800</v>
      </c>
      <c r="G64" s="65"/>
      <c r="H64" s="65">
        <v>7574</v>
      </c>
      <c r="I64" s="65">
        <f>F64+H64</f>
        <v>84374</v>
      </c>
      <c r="J64" s="22" t="s">
        <v>257</v>
      </c>
    </row>
    <row r="65" spans="1:9" ht="12.75">
      <c r="A65" s="56"/>
      <c r="B65" s="63" t="s">
        <v>97</v>
      </c>
      <c r="C65" s="64" t="s">
        <v>186</v>
      </c>
      <c r="D65" s="65">
        <v>76300</v>
      </c>
      <c r="E65" s="65"/>
      <c r="F65" s="65">
        <v>76300</v>
      </c>
      <c r="G65" s="65"/>
      <c r="H65" s="65"/>
      <c r="I65" s="65">
        <v>76300</v>
      </c>
    </row>
    <row r="66" spans="1:9" ht="12.75">
      <c r="A66" s="56"/>
      <c r="B66" s="56" t="s">
        <v>27</v>
      </c>
      <c r="C66" s="48" t="s">
        <v>85</v>
      </c>
      <c r="D66" s="38">
        <v>149038.24</v>
      </c>
      <c r="E66" s="38"/>
      <c r="F66" s="38">
        <v>149038.24</v>
      </c>
      <c r="G66" s="38"/>
      <c r="H66" s="38"/>
      <c r="I66" s="38">
        <v>149038.24</v>
      </c>
    </row>
    <row r="67" spans="1:9" ht="12.75">
      <c r="A67" s="56"/>
      <c r="B67" s="60" t="s">
        <v>112</v>
      </c>
      <c r="C67" s="32" t="s">
        <v>113</v>
      </c>
      <c r="D67" s="38">
        <f>SUM(D68:D69)</f>
        <v>156600</v>
      </c>
      <c r="E67" s="38"/>
      <c r="F67" s="38">
        <f>SUM(F68:F69)</f>
        <v>156600</v>
      </c>
      <c r="G67" s="38"/>
      <c r="H67" s="38">
        <f>SUM(H68:H69)</f>
        <v>-17000</v>
      </c>
      <c r="I67" s="38">
        <f>SUM(I68:I69)</f>
        <v>139600</v>
      </c>
    </row>
    <row r="68" spans="1:10" ht="12.75">
      <c r="A68" s="56"/>
      <c r="B68" s="63" t="s">
        <v>112</v>
      </c>
      <c r="C68" s="64" t="s">
        <v>187</v>
      </c>
      <c r="D68" s="65">
        <f>102000</f>
        <v>102000</v>
      </c>
      <c r="E68" s="65"/>
      <c r="F68" s="65">
        <f>102000</f>
        <v>102000</v>
      </c>
      <c r="G68" s="65"/>
      <c r="H68" s="65">
        <v>-17000</v>
      </c>
      <c r="I68" s="65">
        <f>F68+H68</f>
        <v>85000</v>
      </c>
      <c r="J68" s="22" t="s">
        <v>238</v>
      </c>
    </row>
    <row r="69" spans="1:9" ht="12.75">
      <c r="A69" s="56"/>
      <c r="B69" s="63" t="s">
        <v>112</v>
      </c>
      <c r="C69" s="64" t="s">
        <v>174</v>
      </c>
      <c r="D69" s="65">
        <v>54600</v>
      </c>
      <c r="E69" s="65"/>
      <c r="F69" s="65">
        <v>54600</v>
      </c>
      <c r="G69" s="65"/>
      <c r="H69" s="65"/>
      <c r="I69" s="65">
        <v>54600</v>
      </c>
    </row>
    <row r="70" spans="1:9" ht="12.75">
      <c r="A70" s="56"/>
      <c r="B70" s="61" t="s">
        <v>28</v>
      </c>
      <c r="C70" s="48" t="s">
        <v>29</v>
      </c>
      <c r="D70" s="38">
        <f>SUM(D71:D80)</f>
        <v>2539300</v>
      </c>
      <c r="E70" s="38"/>
      <c r="F70" s="38">
        <f>SUM(F71:F80)</f>
        <v>2539300</v>
      </c>
      <c r="G70" s="38"/>
      <c r="H70" s="38"/>
      <c r="I70" s="38">
        <f>SUM(I71:I80)</f>
        <v>2539300</v>
      </c>
    </row>
    <row r="71" spans="1:10" s="14" customFormat="1" ht="11.25">
      <c r="A71" s="62"/>
      <c r="B71" s="63" t="s">
        <v>28</v>
      </c>
      <c r="C71" s="64" t="s">
        <v>86</v>
      </c>
      <c r="D71" s="65">
        <v>446200</v>
      </c>
      <c r="E71" s="65"/>
      <c r="F71" s="65">
        <v>446200</v>
      </c>
      <c r="G71" s="65"/>
      <c r="H71" s="65"/>
      <c r="I71" s="65">
        <v>446200</v>
      </c>
      <c r="J71" s="94"/>
    </row>
    <row r="72" spans="1:10" s="14" customFormat="1" ht="11.25">
      <c r="A72" s="62"/>
      <c r="B72" s="63" t="s">
        <v>28</v>
      </c>
      <c r="C72" s="64" t="s">
        <v>87</v>
      </c>
      <c r="D72" s="65">
        <v>368600</v>
      </c>
      <c r="E72" s="65"/>
      <c r="F72" s="65">
        <v>368600</v>
      </c>
      <c r="G72" s="65"/>
      <c r="H72" s="65"/>
      <c r="I72" s="65">
        <v>368600</v>
      </c>
      <c r="J72" s="94"/>
    </row>
    <row r="73" spans="1:10" s="14" customFormat="1" ht="11.25">
      <c r="A73" s="62"/>
      <c r="B73" s="63" t="s">
        <v>28</v>
      </c>
      <c r="C73" s="64" t="s">
        <v>88</v>
      </c>
      <c r="D73" s="65">
        <v>227800</v>
      </c>
      <c r="E73" s="65"/>
      <c r="F73" s="65">
        <v>227800</v>
      </c>
      <c r="G73" s="65"/>
      <c r="H73" s="65"/>
      <c r="I73" s="65">
        <v>227800</v>
      </c>
      <c r="J73" s="94"/>
    </row>
    <row r="74" spans="1:10" s="14" customFormat="1" ht="11.25">
      <c r="A74" s="62"/>
      <c r="B74" s="63" t="s">
        <v>28</v>
      </c>
      <c r="C74" s="64" t="s">
        <v>90</v>
      </c>
      <c r="D74" s="65">
        <v>356000</v>
      </c>
      <c r="E74" s="65"/>
      <c r="F74" s="65">
        <v>356000</v>
      </c>
      <c r="G74" s="65"/>
      <c r="H74" s="65"/>
      <c r="I74" s="65">
        <v>356000</v>
      </c>
      <c r="J74" s="94"/>
    </row>
    <row r="75" spans="1:10" s="14" customFormat="1" ht="11.25">
      <c r="A75" s="62"/>
      <c r="B75" s="63" t="s">
        <v>28</v>
      </c>
      <c r="C75" s="64" t="s">
        <v>89</v>
      </c>
      <c r="D75" s="65">
        <v>217200</v>
      </c>
      <c r="E75" s="65"/>
      <c r="F75" s="65">
        <v>217200</v>
      </c>
      <c r="G75" s="65"/>
      <c r="H75" s="65"/>
      <c r="I75" s="65">
        <v>217200</v>
      </c>
      <c r="J75" s="94"/>
    </row>
    <row r="76" spans="1:10" s="14" customFormat="1" ht="11.25">
      <c r="A76" s="62"/>
      <c r="B76" s="63" t="s">
        <v>28</v>
      </c>
      <c r="C76" s="64" t="s">
        <v>160</v>
      </c>
      <c r="D76" s="65">
        <v>276200</v>
      </c>
      <c r="E76" s="65"/>
      <c r="F76" s="65">
        <v>276200</v>
      </c>
      <c r="G76" s="65"/>
      <c r="H76" s="65"/>
      <c r="I76" s="65">
        <v>276200</v>
      </c>
      <c r="J76" s="94"/>
    </row>
    <row r="77" spans="1:10" s="14" customFormat="1" ht="11.25">
      <c r="A77" s="62"/>
      <c r="B77" s="63" t="s">
        <v>28</v>
      </c>
      <c r="C77" s="64" t="s">
        <v>157</v>
      </c>
      <c r="D77" s="65">
        <v>117000</v>
      </c>
      <c r="E77" s="65"/>
      <c r="F77" s="65">
        <v>117000</v>
      </c>
      <c r="G77" s="65"/>
      <c r="H77" s="65"/>
      <c r="I77" s="65">
        <v>117000</v>
      </c>
      <c r="J77" s="94"/>
    </row>
    <row r="78" spans="1:10" s="14" customFormat="1" ht="11.25">
      <c r="A78" s="62"/>
      <c r="B78" s="63" t="s">
        <v>28</v>
      </c>
      <c r="C78" s="64" t="s">
        <v>105</v>
      </c>
      <c r="D78" s="65">
        <v>142900</v>
      </c>
      <c r="E78" s="65"/>
      <c r="F78" s="65">
        <v>142900</v>
      </c>
      <c r="G78" s="65"/>
      <c r="H78" s="65"/>
      <c r="I78" s="65">
        <v>142900</v>
      </c>
      <c r="J78" s="94"/>
    </row>
    <row r="79" spans="1:10" s="14" customFormat="1" ht="11.25">
      <c r="A79" s="62"/>
      <c r="B79" s="63" t="s">
        <v>28</v>
      </c>
      <c r="C79" s="64" t="s">
        <v>106</v>
      </c>
      <c r="D79" s="65">
        <v>313400</v>
      </c>
      <c r="E79" s="65"/>
      <c r="F79" s="65">
        <v>313400</v>
      </c>
      <c r="G79" s="65"/>
      <c r="H79" s="65"/>
      <c r="I79" s="65">
        <f>F79+H79</f>
        <v>313400</v>
      </c>
      <c r="J79" s="94"/>
    </row>
    <row r="80" spans="1:10" s="14" customFormat="1" ht="11.25">
      <c r="A80" s="62"/>
      <c r="B80" s="63" t="s">
        <v>28</v>
      </c>
      <c r="C80" s="64" t="s">
        <v>47</v>
      </c>
      <c r="D80" s="65">
        <v>74000</v>
      </c>
      <c r="E80" s="65"/>
      <c r="F80" s="65">
        <v>74000</v>
      </c>
      <c r="G80" s="65"/>
      <c r="H80" s="65"/>
      <c r="I80" s="65">
        <v>74000</v>
      </c>
      <c r="J80" s="94"/>
    </row>
    <row r="81" spans="1:9" ht="12.75">
      <c r="A81" s="56"/>
      <c r="B81" s="56" t="s">
        <v>62</v>
      </c>
      <c r="C81" s="48" t="s">
        <v>63</v>
      </c>
      <c r="D81" s="38">
        <f>SUM(D82:D91)</f>
        <v>4678500</v>
      </c>
      <c r="E81" s="38"/>
      <c r="F81" s="38">
        <f>SUM(F82:F91)</f>
        <v>4678500</v>
      </c>
      <c r="G81" s="38"/>
      <c r="H81" s="38"/>
      <c r="I81" s="38">
        <f>SUM(I82:I91)</f>
        <v>4678500</v>
      </c>
    </row>
    <row r="82" spans="1:10" s="14" customFormat="1" ht="11.25">
      <c r="A82" s="62"/>
      <c r="B82" s="63" t="s">
        <v>62</v>
      </c>
      <c r="C82" s="64" t="s">
        <v>182</v>
      </c>
      <c r="D82" s="65">
        <v>588200</v>
      </c>
      <c r="E82" s="65"/>
      <c r="F82" s="65">
        <v>588200</v>
      </c>
      <c r="G82" s="65"/>
      <c r="H82" s="65"/>
      <c r="I82" s="65">
        <v>588200</v>
      </c>
      <c r="J82" s="94"/>
    </row>
    <row r="83" spans="1:10" s="14" customFormat="1" ht="11.25">
      <c r="A83" s="62"/>
      <c r="B83" s="63" t="s">
        <v>62</v>
      </c>
      <c r="C83" s="64" t="s">
        <v>70</v>
      </c>
      <c r="D83" s="65">
        <v>623500</v>
      </c>
      <c r="E83" s="65"/>
      <c r="F83" s="65">
        <v>623500</v>
      </c>
      <c r="G83" s="65"/>
      <c r="H83" s="65"/>
      <c r="I83" s="65">
        <v>623500</v>
      </c>
      <c r="J83" s="94"/>
    </row>
    <row r="84" spans="1:10" s="14" customFormat="1" ht="11.25">
      <c r="A84" s="62"/>
      <c r="B84" s="63" t="s">
        <v>62</v>
      </c>
      <c r="C84" s="64" t="s">
        <v>91</v>
      </c>
      <c r="D84" s="65">
        <v>214600</v>
      </c>
      <c r="E84" s="65"/>
      <c r="F84" s="65">
        <v>214600</v>
      </c>
      <c r="G84" s="65"/>
      <c r="H84" s="65"/>
      <c r="I84" s="65">
        <v>214600</v>
      </c>
      <c r="J84" s="94"/>
    </row>
    <row r="85" spans="1:10" s="14" customFormat="1" ht="11.25">
      <c r="A85" s="62"/>
      <c r="B85" s="63" t="s">
        <v>62</v>
      </c>
      <c r="C85" s="64" t="s">
        <v>92</v>
      </c>
      <c r="D85" s="65">
        <v>1065600</v>
      </c>
      <c r="E85" s="65"/>
      <c r="F85" s="65">
        <v>1065600</v>
      </c>
      <c r="G85" s="65"/>
      <c r="H85" s="65"/>
      <c r="I85" s="65">
        <v>1065600</v>
      </c>
      <c r="J85" s="94"/>
    </row>
    <row r="86" spans="1:10" s="14" customFormat="1" ht="11.25">
      <c r="A86" s="62"/>
      <c r="B86" s="63" t="s">
        <v>62</v>
      </c>
      <c r="C86" s="64" t="s">
        <v>93</v>
      </c>
      <c r="D86" s="65">
        <v>263000</v>
      </c>
      <c r="E86" s="65"/>
      <c r="F86" s="65">
        <v>263000</v>
      </c>
      <c r="G86" s="65"/>
      <c r="H86" s="65"/>
      <c r="I86" s="65">
        <v>263000</v>
      </c>
      <c r="J86" s="94"/>
    </row>
    <row r="87" spans="1:10" s="14" customFormat="1" ht="11.25">
      <c r="A87" s="62"/>
      <c r="B87" s="63" t="s">
        <v>62</v>
      </c>
      <c r="C87" s="64" t="s">
        <v>116</v>
      </c>
      <c r="D87" s="65">
        <v>418000</v>
      </c>
      <c r="E87" s="65"/>
      <c r="F87" s="65">
        <v>418000</v>
      </c>
      <c r="G87" s="65"/>
      <c r="H87" s="65"/>
      <c r="I87" s="65">
        <v>418000</v>
      </c>
      <c r="J87" s="94"/>
    </row>
    <row r="88" spans="1:10" s="14" customFormat="1" ht="11.25">
      <c r="A88" s="62"/>
      <c r="B88" s="63" t="s">
        <v>62</v>
      </c>
      <c r="C88" s="64" t="s">
        <v>117</v>
      </c>
      <c r="D88" s="65">
        <v>479300</v>
      </c>
      <c r="E88" s="65"/>
      <c r="F88" s="65">
        <v>479300</v>
      </c>
      <c r="G88" s="65"/>
      <c r="H88" s="65"/>
      <c r="I88" s="65">
        <v>479300</v>
      </c>
      <c r="J88" s="94"/>
    </row>
    <row r="89" spans="1:10" s="14" customFormat="1" ht="11.25">
      <c r="A89" s="62"/>
      <c r="B89" s="63" t="s">
        <v>62</v>
      </c>
      <c r="C89" s="64" t="s">
        <v>108</v>
      </c>
      <c r="D89" s="65">
        <v>587700</v>
      </c>
      <c r="E89" s="65"/>
      <c r="F89" s="65">
        <v>587700</v>
      </c>
      <c r="G89" s="65"/>
      <c r="H89" s="65"/>
      <c r="I89" s="65">
        <v>587700</v>
      </c>
      <c r="J89" s="94"/>
    </row>
    <row r="90" spans="1:10" s="14" customFormat="1" ht="11.25">
      <c r="A90" s="62"/>
      <c r="B90" s="63" t="s">
        <v>62</v>
      </c>
      <c r="C90" s="64" t="s">
        <v>109</v>
      </c>
      <c r="D90" s="65">
        <v>308000</v>
      </c>
      <c r="E90" s="65"/>
      <c r="F90" s="65">
        <v>308000</v>
      </c>
      <c r="G90" s="65"/>
      <c r="H90" s="65"/>
      <c r="I90" s="65">
        <v>308000</v>
      </c>
      <c r="J90" s="94"/>
    </row>
    <row r="91" spans="1:10" s="14" customFormat="1" ht="11.25">
      <c r="A91" s="62"/>
      <c r="B91" s="63" t="s">
        <v>62</v>
      </c>
      <c r="C91" s="64" t="s">
        <v>47</v>
      </c>
      <c r="D91" s="65">
        <v>130600</v>
      </c>
      <c r="E91" s="65"/>
      <c r="F91" s="65">
        <v>130600</v>
      </c>
      <c r="G91" s="65"/>
      <c r="H91" s="65"/>
      <c r="I91" s="65">
        <v>130600</v>
      </c>
      <c r="J91" s="94"/>
    </row>
    <row r="92" spans="1:9" ht="12.75">
      <c r="A92" s="56"/>
      <c r="B92" s="61" t="s">
        <v>75</v>
      </c>
      <c r="C92" s="48" t="s">
        <v>64</v>
      </c>
      <c r="D92" s="38">
        <v>267400</v>
      </c>
      <c r="E92" s="38"/>
      <c r="F92" s="38">
        <v>267400</v>
      </c>
      <c r="G92" s="38"/>
      <c r="H92" s="38"/>
      <c r="I92" s="38">
        <v>267400</v>
      </c>
    </row>
    <row r="93" spans="1:9" ht="12.75">
      <c r="A93" s="56"/>
      <c r="B93" s="60" t="s">
        <v>120</v>
      </c>
      <c r="C93" s="32" t="s">
        <v>100</v>
      </c>
      <c r="D93" s="38">
        <f>SUM(D94:D95)</f>
        <v>283000</v>
      </c>
      <c r="E93" s="38"/>
      <c r="F93" s="38">
        <f>SUM(F94:F95)</f>
        <v>283000</v>
      </c>
      <c r="G93" s="38"/>
      <c r="H93" s="38"/>
      <c r="I93" s="38">
        <f>SUM(I94:I95)</f>
        <v>283000</v>
      </c>
    </row>
    <row r="94" spans="1:9" ht="12.75">
      <c r="A94" s="56"/>
      <c r="B94" s="63" t="s">
        <v>120</v>
      </c>
      <c r="C94" s="64" t="s">
        <v>175</v>
      </c>
      <c r="D94" s="65">
        <v>198000</v>
      </c>
      <c r="E94" s="65"/>
      <c r="F94" s="65">
        <v>198000</v>
      </c>
      <c r="G94" s="65"/>
      <c r="H94" s="65"/>
      <c r="I94" s="65">
        <v>198000</v>
      </c>
    </row>
    <row r="95" spans="1:9" ht="12.75">
      <c r="A95" s="56"/>
      <c r="B95" s="63" t="s">
        <v>120</v>
      </c>
      <c r="C95" s="64" t="s">
        <v>176</v>
      </c>
      <c r="D95" s="65">
        <v>85000</v>
      </c>
      <c r="E95" s="65"/>
      <c r="F95" s="65">
        <v>85000</v>
      </c>
      <c r="G95" s="65"/>
      <c r="H95" s="65"/>
      <c r="I95" s="65">
        <v>85000</v>
      </c>
    </row>
    <row r="96" spans="1:9" ht="12.75">
      <c r="A96" s="56"/>
      <c r="B96" s="61" t="s">
        <v>94</v>
      </c>
      <c r="C96" s="48" t="s">
        <v>95</v>
      </c>
      <c r="D96" s="38">
        <v>10000</v>
      </c>
      <c r="E96" s="38"/>
      <c r="F96" s="38">
        <v>10000</v>
      </c>
      <c r="G96" s="38"/>
      <c r="H96" s="38"/>
      <c r="I96" s="38">
        <v>10000</v>
      </c>
    </row>
    <row r="97" spans="1:9" ht="12.75">
      <c r="A97" s="56"/>
      <c r="B97" s="56" t="s">
        <v>73</v>
      </c>
      <c r="C97" s="48" t="s">
        <v>96</v>
      </c>
      <c r="D97" s="38">
        <v>1200</v>
      </c>
      <c r="E97" s="38"/>
      <c r="F97" s="38">
        <v>1200</v>
      </c>
      <c r="G97" s="38"/>
      <c r="H97" s="38"/>
      <c r="I97" s="38">
        <v>1200</v>
      </c>
    </row>
    <row r="98" spans="1:10" ht="12.75">
      <c r="A98" s="56"/>
      <c r="B98" s="56">
        <v>10700</v>
      </c>
      <c r="C98" s="48" t="s">
        <v>221</v>
      </c>
      <c r="D98" s="38">
        <v>30000</v>
      </c>
      <c r="E98" s="38"/>
      <c r="F98" s="38">
        <v>30000</v>
      </c>
      <c r="G98" s="38"/>
      <c r="H98" s="38">
        <f>-8697-7574</f>
        <v>-16271</v>
      </c>
      <c r="I98" s="38">
        <f>F98+H98</f>
        <v>13729</v>
      </c>
      <c r="J98" s="9" t="s">
        <v>256</v>
      </c>
    </row>
    <row r="99" spans="1:9" ht="12.75">
      <c r="A99" s="55"/>
      <c r="B99" s="49"/>
      <c r="C99" s="48"/>
      <c r="D99" s="38"/>
      <c r="E99" s="38"/>
      <c r="F99" s="38"/>
      <c r="G99" s="38"/>
      <c r="H99" s="38"/>
      <c r="I99" s="38"/>
    </row>
    <row r="100" spans="1:10" s="3" customFormat="1" ht="12.75">
      <c r="A100" s="67">
        <v>55</v>
      </c>
      <c r="B100" s="67"/>
      <c r="C100" s="67" t="s">
        <v>30</v>
      </c>
      <c r="D100" s="45">
        <f>D102+D103+D104+D105+D106+D107+D108+D109+D110+D113+D114+D120+D149+D119+D118+D124+D125+D137+D153+D154+D156+D157+D158+D159+D123</f>
        <v>6124735.66</v>
      </c>
      <c r="E100" s="45"/>
      <c r="F100" s="45">
        <f>F102+F103+F104+F105+F106+F107+F108+F109+F110+F113+F114+F120+F149+F119+F118+F124+F125+F137+F153+F154+F156+F157+F158+F159+F123</f>
        <v>6124735.66</v>
      </c>
      <c r="G100" s="45"/>
      <c r="H100" s="45">
        <f>H102+H103+H104+H105+H106+H107+H108+H109+H110+H113+H114+H120+H149+H119+H118+H124+H125+H137+H153+H154+H156+H157+H158+H159+H123+H155</f>
        <v>108043.2</v>
      </c>
      <c r="I100" s="45">
        <f>I102+I103+I104+I105+I106+I107+I108+I109+I110+I113+I114+I120+I149+I119+I118+I124+I125+I137+I153+I154+I156+I157+I158+I159+I123+I155</f>
        <v>6301397.859999999</v>
      </c>
      <c r="J100" s="26"/>
    </row>
    <row r="101" spans="1:9" ht="12.75">
      <c r="A101" s="68"/>
      <c r="B101" s="68"/>
      <c r="C101" s="68"/>
      <c r="D101" s="38"/>
      <c r="E101" s="38"/>
      <c r="F101" s="38"/>
      <c r="G101" s="38"/>
      <c r="H101" s="38"/>
      <c r="I101" s="38"/>
    </row>
    <row r="102" spans="1:9" ht="12.75">
      <c r="A102" s="68"/>
      <c r="B102" s="56" t="s">
        <v>25</v>
      </c>
      <c r="C102" s="48" t="s">
        <v>83</v>
      </c>
      <c r="D102" s="38">
        <v>4040</v>
      </c>
      <c r="E102" s="38"/>
      <c r="F102" s="38">
        <v>4040</v>
      </c>
      <c r="G102" s="38"/>
      <c r="H102" s="38"/>
      <c r="I102" s="38">
        <v>4040</v>
      </c>
    </row>
    <row r="103" spans="1:14" ht="12.75">
      <c r="A103" s="69"/>
      <c r="B103" s="69" t="s">
        <v>26</v>
      </c>
      <c r="C103" s="32" t="s">
        <v>84</v>
      </c>
      <c r="D103" s="59">
        <f>765000-2000-10000-10000</f>
        <v>743000</v>
      </c>
      <c r="E103" s="59"/>
      <c r="F103" s="59">
        <f>765000-2000-10000-10000</f>
        <v>743000</v>
      </c>
      <c r="G103" s="59"/>
      <c r="H103" s="59"/>
      <c r="I103" s="59">
        <f>765000-2000-10000-10000</f>
        <v>743000</v>
      </c>
      <c r="N103" s="118" t="s">
        <v>237</v>
      </c>
    </row>
    <row r="104" spans="1:15" s="21" customFormat="1" ht="12.75">
      <c r="A104" s="57"/>
      <c r="B104" s="57" t="s">
        <v>31</v>
      </c>
      <c r="C104" s="58" t="s">
        <v>32</v>
      </c>
      <c r="D104" s="38">
        <v>420000</v>
      </c>
      <c r="E104" s="38"/>
      <c r="F104" s="38">
        <v>420000</v>
      </c>
      <c r="G104" s="38"/>
      <c r="H104" s="38">
        <v>-60000</v>
      </c>
      <c r="I104" s="38">
        <f>F104+H104</f>
        <v>360000</v>
      </c>
      <c r="J104" s="97" t="s">
        <v>231</v>
      </c>
      <c r="N104" s="97">
        <v>588140</v>
      </c>
      <c r="O104" s="117" t="s">
        <v>235</v>
      </c>
    </row>
    <row r="105" spans="1:15" ht="12.75">
      <c r="A105" s="69"/>
      <c r="B105" s="69" t="s">
        <v>33</v>
      </c>
      <c r="C105" s="32" t="s">
        <v>107</v>
      </c>
      <c r="D105" s="38">
        <v>100000</v>
      </c>
      <c r="E105" s="38"/>
      <c r="F105" s="38">
        <v>100000</v>
      </c>
      <c r="G105" s="38"/>
      <c r="H105" s="38"/>
      <c r="I105" s="38">
        <v>100000</v>
      </c>
      <c r="N105" s="9">
        <f>I104+I108+I217+I212+I213+I214+I226+I201+I205+I206-I177-I180-I181-I184-270000</f>
        <v>1261178.65</v>
      </c>
      <c r="O105" s="8" t="s">
        <v>236</v>
      </c>
    </row>
    <row r="106" spans="1:15" ht="12.75">
      <c r="A106" s="69"/>
      <c r="B106" s="69" t="s">
        <v>34</v>
      </c>
      <c r="C106" s="32" t="s">
        <v>35</v>
      </c>
      <c r="D106" s="38">
        <v>86822</v>
      </c>
      <c r="E106" s="38"/>
      <c r="F106" s="38">
        <v>86822</v>
      </c>
      <c r="G106" s="38"/>
      <c r="H106" s="38"/>
      <c r="I106" s="38">
        <v>86822</v>
      </c>
      <c r="N106" s="9">
        <f>N105-N104</f>
        <v>673038.6499999999</v>
      </c>
      <c r="O106" s="8" t="s">
        <v>239</v>
      </c>
    </row>
    <row r="107" spans="1:14" ht="12.75">
      <c r="A107" s="69"/>
      <c r="B107" s="60" t="s">
        <v>58</v>
      </c>
      <c r="C107" s="32" t="s">
        <v>125</v>
      </c>
      <c r="D107" s="38">
        <v>120000</v>
      </c>
      <c r="E107" s="38"/>
      <c r="F107" s="38">
        <v>120000</v>
      </c>
      <c r="G107" s="38"/>
      <c r="H107" s="38"/>
      <c r="I107" s="38">
        <v>120000</v>
      </c>
      <c r="N107" s="9"/>
    </row>
    <row r="108" spans="1:10" s="21" customFormat="1" ht="12.75">
      <c r="A108" s="57"/>
      <c r="B108" s="57" t="s">
        <v>36</v>
      </c>
      <c r="C108" s="58" t="s">
        <v>37</v>
      </c>
      <c r="D108" s="38">
        <v>117402</v>
      </c>
      <c r="E108" s="38"/>
      <c r="F108" s="38">
        <v>117402</v>
      </c>
      <c r="G108" s="38"/>
      <c r="H108" s="38"/>
      <c r="I108" s="38">
        <v>117402</v>
      </c>
      <c r="J108" s="97"/>
    </row>
    <row r="109" spans="1:9" ht="12.75">
      <c r="A109" s="69"/>
      <c r="B109" s="60" t="s">
        <v>38</v>
      </c>
      <c r="C109" s="32" t="s">
        <v>181</v>
      </c>
      <c r="D109" s="38">
        <v>204303</v>
      </c>
      <c r="E109" s="38"/>
      <c r="F109" s="38">
        <v>204303</v>
      </c>
      <c r="G109" s="38"/>
      <c r="H109" s="38">
        <v>5000</v>
      </c>
      <c r="I109" s="38">
        <f>F109+H109</f>
        <v>209303</v>
      </c>
    </row>
    <row r="110" spans="1:9" ht="12.75">
      <c r="A110" s="69"/>
      <c r="B110" s="60" t="s">
        <v>23</v>
      </c>
      <c r="C110" s="32" t="s">
        <v>121</v>
      </c>
      <c r="D110" s="38">
        <f>SUM(D111:D112)</f>
        <v>225200</v>
      </c>
      <c r="E110" s="38"/>
      <c r="F110" s="38">
        <f>SUM(F111:F112)</f>
        <v>225200</v>
      </c>
      <c r="G110" s="38"/>
      <c r="H110" s="38"/>
      <c r="I110" s="38">
        <f>SUM(I111:I112)</f>
        <v>225200</v>
      </c>
    </row>
    <row r="111" spans="1:9" ht="12.75">
      <c r="A111" s="69"/>
      <c r="B111" s="63" t="s">
        <v>23</v>
      </c>
      <c r="C111" s="64" t="s">
        <v>177</v>
      </c>
      <c r="D111" s="65">
        <v>78000</v>
      </c>
      <c r="E111" s="65"/>
      <c r="F111" s="65">
        <v>78000</v>
      </c>
      <c r="G111" s="65"/>
      <c r="H111" s="65"/>
      <c r="I111" s="65">
        <v>78000</v>
      </c>
    </row>
    <row r="112" spans="1:9" ht="12.75">
      <c r="A112" s="69"/>
      <c r="B112" s="63" t="s">
        <v>23</v>
      </c>
      <c r="C112" s="64" t="s">
        <v>178</v>
      </c>
      <c r="D112" s="65">
        <v>147200</v>
      </c>
      <c r="E112" s="65"/>
      <c r="F112" s="65">
        <v>147200</v>
      </c>
      <c r="G112" s="65"/>
      <c r="H112" s="65"/>
      <c r="I112" s="65">
        <v>147200</v>
      </c>
    </row>
    <row r="113" spans="1:9" ht="12.75">
      <c r="A113" s="69"/>
      <c r="B113" s="60" t="s">
        <v>158</v>
      </c>
      <c r="C113" s="32" t="s">
        <v>159</v>
      </c>
      <c r="D113" s="38">
        <v>20000</v>
      </c>
      <c r="E113" s="38"/>
      <c r="F113" s="38">
        <v>20000</v>
      </c>
      <c r="G113" s="38"/>
      <c r="H113" s="38"/>
      <c r="I113" s="38">
        <v>20000</v>
      </c>
    </row>
    <row r="114" spans="1:9" ht="12.75">
      <c r="A114" s="69"/>
      <c r="B114" s="60" t="s">
        <v>97</v>
      </c>
      <c r="C114" s="32" t="s">
        <v>98</v>
      </c>
      <c r="D114" s="38">
        <f>SUM(D115:D116)</f>
        <v>31000</v>
      </c>
      <c r="E114" s="38"/>
      <c r="F114" s="38">
        <f>SUM(F115:F116)</f>
        <v>31000</v>
      </c>
      <c r="G114" s="38"/>
      <c r="H114" s="38">
        <f>SUM(H115:H117)</f>
        <v>58442</v>
      </c>
      <c r="I114" s="38">
        <f>SUM(I115:I117)</f>
        <v>89442</v>
      </c>
    </row>
    <row r="115" spans="1:9" ht="12.75">
      <c r="A115" s="69"/>
      <c r="B115" s="63" t="s">
        <v>97</v>
      </c>
      <c r="C115" s="64" t="s">
        <v>184</v>
      </c>
      <c r="D115" s="65">
        <v>11000</v>
      </c>
      <c r="E115" s="65"/>
      <c r="F115" s="65">
        <v>11000</v>
      </c>
      <c r="G115" s="65"/>
      <c r="H115" s="65">
        <v>3500</v>
      </c>
      <c r="I115" s="65">
        <f>F115+H115</f>
        <v>14500</v>
      </c>
    </row>
    <row r="116" spans="1:9" ht="12.75">
      <c r="A116" s="69"/>
      <c r="B116" s="63" t="s">
        <v>97</v>
      </c>
      <c r="C116" s="64" t="s">
        <v>185</v>
      </c>
      <c r="D116" s="65">
        <v>20000</v>
      </c>
      <c r="E116" s="65"/>
      <c r="F116" s="65">
        <v>20000</v>
      </c>
      <c r="G116" s="65"/>
      <c r="H116" s="65"/>
      <c r="I116" s="65">
        <f>F116+H116</f>
        <v>20000</v>
      </c>
    </row>
    <row r="117" spans="1:10" ht="12.75">
      <c r="A117" s="69"/>
      <c r="B117" s="63" t="s">
        <v>97</v>
      </c>
      <c r="C117" s="64" t="s">
        <v>240</v>
      </c>
      <c r="D117" s="65"/>
      <c r="E117" s="65"/>
      <c r="F117" s="65"/>
      <c r="G117" s="65"/>
      <c r="H117" s="65">
        <v>54942</v>
      </c>
      <c r="I117" s="65">
        <f>F117+H117</f>
        <v>54942</v>
      </c>
      <c r="J117" s="22" t="s">
        <v>241</v>
      </c>
    </row>
    <row r="118" spans="1:9" ht="12.75">
      <c r="A118" s="69"/>
      <c r="B118" s="60" t="s">
        <v>99</v>
      </c>
      <c r="C118" s="32" t="s">
        <v>39</v>
      </c>
      <c r="D118" s="38">
        <v>100000</v>
      </c>
      <c r="E118" s="38"/>
      <c r="F118" s="38">
        <v>100000</v>
      </c>
      <c r="G118" s="38"/>
      <c r="H118" s="38"/>
      <c r="I118" s="38">
        <v>100000</v>
      </c>
    </row>
    <row r="119" spans="1:9" ht="12.75">
      <c r="A119" s="69"/>
      <c r="B119" s="69" t="s">
        <v>27</v>
      </c>
      <c r="C119" s="32" t="s">
        <v>85</v>
      </c>
      <c r="D119" s="38">
        <f>85689</f>
        <v>85689</v>
      </c>
      <c r="E119" s="38"/>
      <c r="F119" s="38">
        <f>85689</f>
        <v>85689</v>
      </c>
      <c r="G119" s="38"/>
      <c r="H119" s="38"/>
      <c r="I119" s="38">
        <f>85689</f>
        <v>85689</v>
      </c>
    </row>
    <row r="120" spans="1:9" ht="12.75">
      <c r="A120" s="69"/>
      <c r="B120" s="60" t="s">
        <v>112</v>
      </c>
      <c r="C120" s="32" t="s">
        <v>113</v>
      </c>
      <c r="D120" s="38">
        <f>SUM(D121:D122)</f>
        <v>102000</v>
      </c>
      <c r="E120" s="38"/>
      <c r="F120" s="38">
        <f>SUM(F121:F122)</f>
        <v>102000</v>
      </c>
      <c r="G120" s="38"/>
      <c r="H120" s="38">
        <f>SUM(H121:H122)</f>
        <v>5000</v>
      </c>
      <c r="I120" s="38">
        <f>SUM(I121:I122)</f>
        <v>107000</v>
      </c>
    </row>
    <row r="121" spans="1:10" ht="12.75">
      <c r="A121" s="69"/>
      <c r="B121" s="63" t="s">
        <v>112</v>
      </c>
      <c r="C121" s="64" t="s">
        <v>187</v>
      </c>
      <c r="D121" s="65">
        <f>31000+10000+25000</f>
        <v>66000</v>
      </c>
      <c r="E121" s="65"/>
      <c r="F121" s="65">
        <f>31000+10000+25000</f>
        <v>66000</v>
      </c>
      <c r="G121" s="65"/>
      <c r="H121" s="65">
        <v>5000</v>
      </c>
      <c r="I121" s="65">
        <f>F121+H121</f>
        <v>71000</v>
      </c>
      <c r="J121" s="9" t="s">
        <v>255</v>
      </c>
    </row>
    <row r="122" spans="1:9" ht="12.75">
      <c r="A122" s="69"/>
      <c r="B122" s="63" t="s">
        <v>112</v>
      </c>
      <c r="C122" s="64" t="s">
        <v>174</v>
      </c>
      <c r="D122" s="65">
        <v>36000</v>
      </c>
      <c r="E122" s="65"/>
      <c r="F122" s="65">
        <v>36000</v>
      </c>
      <c r="G122" s="65"/>
      <c r="H122" s="65"/>
      <c r="I122" s="65">
        <v>36000</v>
      </c>
    </row>
    <row r="123" spans="1:9" ht="12.75">
      <c r="A123" s="69"/>
      <c r="B123" s="60" t="s">
        <v>114</v>
      </c>
      <c r="C123" s="32" t="s">
        <v>115</v>
      </c>
      <c r="D123" s="59">
        <v>14000</v>
      </c>
      <c r="E123" s="59"/>
      <c r="F123" s="59">
        <v>14000</v>
      </c>
      <c r="G123" s="59"/>
      <c r="H123" s="59"/>
      <c r="I123" s="59">
        <v>14000</v>
      </c>
    </row>
    <row r="124" spans="1:9" ht="12.75">
      <c r="A124" s="69"/>
      <c r="B124" s="69" t="s">
        <v>40</v>
      </c>
      <c r="C124" s="32" t="s">
        <v>41</v>
      </c>
      <c r="D124" s="38">
        <v>42000</v>
      </c>
      <c r="E124" s="38"/>
      <c r="F124" s="38">
        <v>42000</v>
      </c>
      <c r="G124" s="38"/>
      <c r="H124" s="38"/>
      <c r="I124" s="38">
        <v>42000</v>
      </c>
    </row>
    <row r="125" spans="1:11" ht="12.75">
      <c r="A125" s="69"/>
      <c r="B125" s="69" t="s">
        <v>28</v>
      </c>
      <c r="C125" s="32" t="s">
        <v>42</v>
      </c>
      <c r="D125" s="38">
        <f>SUM(D126:D136)</f>
        <v>839844.16</v>
      </c>
      <c r="E125" s="38"/>
      <c r="F125" s="38">
        <f>SUM(F126:F136)</f>
        <v>839844.16</v>
      </c>
      <c r="G125" s="38">
        <f>SUM(G126:G136)</f>
        <v>12272</v>
      </c>
      <c r="H125" s="38">
        <f>SUM(H126:H136)</f>
        <v>26801.2</v>
      </c>
      <c r="I125" s="38">
        <f>SUM(I126:I136)</f>
        <v>878917.36</v>
      </c>
      <c r="K125" s="14"/>
    </row>
    <row r="126" spans="1:11" s="14" customFormat="1" ht="11.25">
      <c r="A126" s="62"/>
      <c r="B126" s="63" t="s">
        <v>28</v>
      </c>
      <c r="C126" s="64" t="s">
        <v>86</v>
      </c>
      <c r="D126" s="66">
        <v>83000</v>
      </c>
      <c r="E126" s="66"/>
      <c r="F126" s="66">
        <v>83000</v>
      </c>
      <c r="G126" s="66"/>
      <c r="H126" s="66"/>
      <c r="I126" s="66">
        <v>83000</v>
      </c>
      <c r="J126" s="94"/>
      <c r="K126" s="94"/>
    </row>
    <row r="127" spans="1:11" s="14" customFormat="1" ht="11.25">
      <c r="A127" s="62"/>
      <c r="B127" s="63" t="s">
        <v>28</v>
      </c>
      <c r="C127" s="64" t="s">
        <v>87</v>
      </c>
      <c r="D127" s="66">
        <v>69000</v>
      </c>
      <c r="E127" s="66"/>
      <c r="F127" s="66">
        <v>69000</v>
      </c>
      <c r="G127" s="66"/>
      <c r="H127" s="66">
        <v>9000</v>
      </c>
      <c r="I127" s="66">
        <f>F127+H127</f>
        <v>78000</v>
      </c>
      <c r="J127" s="94" t="s">
        <v>243</v>
      </c>
      <c r="K127" s="94"/>
    </row>
    <row r="128" spans="1:11" s="14" customFormat="1" ht="11.25">
      <c r="A128" s="62"/>
      <c r="B128" s="63" t="s">
        <v>28</v>
      </c>
      <c r="C128" s="64" t="s">
        <v>88</v>
      </c>
      <c r="D128" s="66">
        <f>57000+30000</f>
        <v>87000</v>
      </c>
      <c r="E128" s="66"/>
      <c r="F128" s="66">
        <f>57000+30000</f>
        <v>87000</v>
      </c>
      <c r="G128" s="66"/>
      <c r="H128" s="66"/>
      <c r="I128" s="66">
        <f>57000+30000</f>
        <v>87000</v>
      </c>
      <c r="J128" s="94"/>
      <c r="K128" s="94"/>
    </row>
    <row r="129" spans="1:11" s="14" customFormat="1" ht="11.25">
      <c r="A129" s="62"/>
      <c r="B129" s="63" t="s">
        <v>28</v>
      </c>
      <c r="C129" s="64" t="s">
        <v>90</v>
      </c>
      <c r="D129" s="65">
        <f>125000+(12*4637.52)-38000</f>
        <v>142650.24</v>
      </c>
      <c r="E129" s="65"/>
      <c r="F129" s="65">
        <f>125000+(12*4637.52)-38000</f>
        <v>142650.24</v>
      </c>
      <c r="G129" s="65"/>
      <c r="H129" s="65"/>
      <c r="I129" s="65">
        <f>125000+(12*4637.52)-38000</f>
        <v>142650.24</v>
      </c>
      <c r="J129" s="94"/>
      <c r="K129" s="94"/>
    </row>
    <row r="130" spans="1:11" s="14" customFormat="1" ht="11.25">
      <c r="A130" s="62"/>
      <c r="B130" s="63" t="s">
        <v>28</v>
      </c>
      <c r="C130" s="64" t="s">
        <v>89</v>
      </c>
      <c r="D130" s="65">
        <f>70000+17400</f>
        <v>87400</v>
      </c>
      <c r="E130" s="65"/>
      <c r="F130" s="65">
        <f>70000+17400</f>
        <v>87400</v>
      </c>
      <c r="G130" s="65"/>
      <c r="H130" s="65"/>
      <c r="I130" s="65">
        <f>F130+G130+H130</f>
        <v>87400</v>
      </c>
      <c r="J130" s="94"/>
      <c r="K130" s="94"/>
    </row>
    <row r="131" spans="1:11" s="14" customFormat="1" ht="11.25">
      <c r="A131" s="62"/>
      <c r="B131" s="63" t="s">
        <v>28</v>
      </c>
      <c r="C131" s="64" t="s">
        <v>160</v>
      </c>
      <c r="D131" s="65">
        <v>54000</v>
      </c>
      <c r="E131" s="65"/>
      <c r="F131" s="65">
        <v>54000</v>
      </c>
      <c r="G131" s="65"/>
      <c r="H131" s="65">
        <v>7000</v>
      </c>
      <c r="I131" s="65">
        <f>F131+G131+H131</f>
        <v>61000</v>
      </c>
      <c r="J131" s="94" t="s">
        <v>243</v>
      </c>
      <c r="K131" s="94"/>
    </row>
    <row r="132" spans="1:11" s="14" customFormat="1" ht="11.25">
      <c r="A132" s="62"/>
      <c r="B132" s="63" t="s">
        <v>28</v>
      </c>
      <c r="C132" s="64" t="s">
        <v>157</v>
      </c>
      <c r="D132" s="65">
        <f>92810+30000</f>
        <v>122810</v>
      </c>
      <c r="E132" s="65"/>
      <c r="F132" s="65">
        <f>92810+30000</f>
        <v>122810</v>
      </c>
      <c r="G132" s="65"/>
      <c r="H132" s="65"/>
      <c r="I132" s="65">
        <f>92810+30000</f>
        <v>122810</v>
      </c>
      <c r="J132" s="94"/>
      <c r="K132" s="94"/>
    </row>
    <row r="133" spans="1:11" s="14" customFormat="1" ht="11.25">
      <c r="A133" s="62"/>
      <c r="B133" s="63" t="s">
        <v>28</v>
      </c>
      <c r="C133" s="64" t="s">
        <v>105</v>
      </c>
      <c r="D133" s="65">
        <v>34000</v>
      </c>
      <c r="E133" s="65"/>
      <c r="F133" s="65">
        <v>34000</v>
      </c>
      <c r="G133" s="65">
        <v>12272</v>
      </c>
      <c r="H133" s="65"/>
      <c r="I133" s="65">
        <f>F133+G133+H133</f>
        <v>46272</v>
      </c>
      <c r="J133" s="94"/>
      <c r="K133" s="94"/>
    </row>
    <row r="134" spans="1:11" s="14" customFormat="1" ht="11.25">
      <c r="A134" s="62"/>
      <c r="B134" s="63" t="s">
        <v>28</v>
      </c>
      <c r="C134" s="64" t="s">
        <v>106</v>
      </c>
      <c r="D134" s="65">
        <v>79000</v>
      </c>
      <c r="E134" s="65"/>
      <c r="F134" s="65">
        <v>79000</v>
      </c>
      <c r="G134" s="65"/>
      <c r="H134" s="65"/>
      <c r="I134" s="65">
        <f>F134+G134+H134</f>
        <v>79000</v>
      </c>
      <c r="J134" s="94"/>
      <c r="K134" s="94"/>
    </row>
    <row r="135" spans="1:11" s="14" customFormat="1" ht="11.25">
      <c r="A135" s="62"/>
      <c r="B135" s="63" t="s">
        <v>28</v>
      </c>
      <c r="C135" s="64" t="s">
        <v>244</v>
      </c>
      <c r="D135" s="65"/>
      <c r="E135" s="65"/>
      <c r="F135" s="65"/>
      <c r="G135" s="65"/>
      <c r="H135" s="65">
        <v>10801.2</v>
      </c>
      <c r="I135" s="65">
        <f>F135+G135+H135</f>
        <v>10801.2</v>
      </c>
      <c r="J135" s="94" t="s">
        <v>254</v>
      </c>
      <c r="K135" s="94"/>
    </row>
    <row r="136" spans="1:11" s="14" customFormat="1" ht="11.25">
      <c r="A136" s="62"/>
      <c r="B136" s="63" t="s">
        <v>28</v>
      </c>
      <c r="C136" s="64" t="s">
        <v>43</v>
      </c>
      <c r="D136" s="65">
        <v>80983.92</v>
      </c>
      <c r="E136" s="65"/>
      <c r="F136" s="65">
        <v>80983.92</v>
      </c>
      <c r="G136" s="65"/>
      <c r="H136" s="65"/>
      <c r="I136" s="65">
        <v>80983.92</v>
      </c>
      <c r="J136" s="94"/>
      <c r="K136" s="94"/>
    </row>
    <row r="137" spans="1:11" ht="12.75">
      <c r="A137" s="69"/>
      <c r="B137" s="60" t="s">
        <v>62</v>
      </c>
      <c r="C137" s="32" t="s">
        <v>63</v>
      </c>
      <c r="D137" s="38">
        <f>SUM(D138:D148)</f>
        <v>1595296.5</v>
      </c>
      <c r="E137" s="38"/>
      <c r="F137" s="38">
        <f>SUM(F138:F148)</f>
        <v>1595296.5</v>
      </c>
      <c r="G137" s="38">
        <f>SUM(G138:G148)</f>
        <v>3552</v>
      </c>
      <c r="H137" s="38"/>
      <c r="I137" s="38">
        <f>SUM(I138:I148)</f>
        <v>1645643.5</v>
      </c>
      <c r="K137" s="95"/>
    </row>
    <row r="138" spans="1:11" s="14" customFormat="1" ht="11.25">
      <c r="A138" s="62"/>
      <c r="B138" s="63" t="s">
        <v>62</v>
      </c>
      <c r="C138" s="64" t="s">
        <v>180</v>
      </c>
      <c r="D138" s="65">
        <f>136000+41000</f>
        <v>177000</v>
      </c>
      <c r="E138" s="65"/>
      <c r="F138" s="65">
        <f>136000+41000</f>
        <v>177000</v>
      </c>
      <c r="G138" s="65"/>
      <c r="H138" s="65"/>
      <c r="I138" s="65">
        <f aca="true" t="shared" si="0" ref="I138:I147">F138+G138+H138</f>
        <v>177000</v>
      </c>
      <c r="J138" s="94"/>
      <c r="K138" s="94"/>
    </row>
    <row r="139" spans="1:11" s="14" customFormat="1" ht="11.25">
      <c r="A139" s="62"/>
      <c r="B139" s="63" t="s">
        <v>62</v>
      </c>
      <c r="C139" s="64" t="s">
        <v>179</v>
      </c>
      <c r="D139" s="65">
        <f>155000+25000</f>
        <v>180000</v>
      </c>
      <c r="E139" s="65"/>
      <c r="F139" s="65">
        <f>155000+25000</f>
        <v>180000</v>
      </c>
      <c r="G139" s="65"/>
      <c r="H139" s="65"/>
      <c r="I139" s="65">
        <f t="shared" si="0"/>
        <v>180000</v>
      </c>
      <c r="J139" s="94"/>
      <c r="K139" s="94"/>
    </row>
    <row r="140" spans="1:11" s="14" customFormat="1" ht="11.25">
      <c r="A140" s="62"/>
      <c r="B140" s="63" t="s">
        <v>62</v>
      </c>
      <c r="C140" s="64" t="s">
        <v>91</v>
      </c>
      <c r="D140" s="65">
        <v>72670</v>
      </c>
      <c r="E140" s="65"/>
      <c r="F140" s="65">
        <v>72670</v>
      </c>
      <c r="G140" s="65"/>
      <c r="H140" s="65"/>
      <c r="I140" s="65">
        <f t="shared" si="0"/>
        <v>72670</v>
      </c>
      <c r="J140" s="94"/>
      <c r="K140" s="94"/>
    </row>
    <row r="141" spans="1:11" s="14" customFormat="1" ht="11.25">
      <c r="A141" s="62"/>
      <c r="B141" s="63" t="s">
        <v>62</v>
      </c>
      <c r="C141" s="64" t="s">
        <v>92</v>
      </c>
      <c r="D141" s="65">
        <f>280000+38000</f>
        <v>318000</v>
      </c>
      <c r="E141" s="65"/>
      <c r="F141" s="65">
        <f>280000+38000</f>
        <v>318000</v>
      </c>
      <c r="G141" s="65"/>
      <c r="H141" s="65"/>
      <c r="I141" s="65">
        <f t="shared" si="0"/>
        <v>318000</v>
      </c>
      <c r="J141" s="94"/>
      <c r="K141" s="94"/>
    </row>
    <row r="142" spans="1:11" s="14" customFormat="1" ht="11.25">
      <c r="A142" s="62"/>
      <c r="B142" s="63" t="s">
        <v>62</v>
      </c>
      <c r="C142" s="64" t="s">
        <v>93</v>
      </c>
      <c r="D142" s="65">
        <f>54000-17400</f>
        <v>36600</v>
      </c>
      <c r="E142" s="65"/>
      <c r="F142" s="65">
        <f>54000-17400</f>
        <v>36600</v>
      </c>
      <c r="G142" s="65"/>
      <c r="H142" s="65"/>
      <c r="I142" s="65">
        <f t="shared" si="0"/>
        <v>36600</v>
      </c>
      <c r="J142" s="94"/>
      <c r="K142" s="94"/>
    </row>
    <row r="143" spans="1:11" s="14" customFormat="1" ht="11.25">
      <c r="A143" s="62"/>
      <c r="B143" s="63" t="s">
        <v>62</v>
      </c>
      <c r="C143" s="64" t="s">
        <v>116</v>
      </c>
      <c r="D143" s="65">
        <f>101850+2400</f>
        <v>104250</v>
      </c>
      <c r="E143" s="65"/>
      <c r="F143" s="65">
        <f>101850+2400</f>
        <v>104250</v>
      </c>
      <c r="G143" s="65"/>
      <c r="H143" s="65"/>
      <c r="I143" s="65">
        <f t="shared" si="0"/>
        <v>104250</v>
      </c>
      <c r="J143" s="94"/>
      <c r="K143" s="94"/>
    </row>
    <row r="144" spans="1:11" s="14" customFormat="1" ht="11.25">
      <c r="A144" s="62"/>
      <c r="B144" s="63" t="s">
        <v>27</v>
      </c>
      <c r="C144" s="64" t="s">
        <v>117</v>
      </c>
      <c r="D144" s="65">
        <f>96000+8000</f>
        <v>104000</v>
      </c>
      <c r="E144" s="65"/>
      <c r="F144" s="65">
        <f>96000+8000</f>
        <v>104000</v>
      </c>
      <c r="G144" s="65"/>
      <c r="H144" s="65"/>
      <c r="I144" s="65">
        <f t="shared" si="0"/>
        <v>104000</v>
      </c>
      <c r="J144" s="94"/>
      <c r="K144" s="94"/>
    </row>
    <row r="145" spans="1:11" s="14" customFormat="1" ht="11.25">
      <c r="A145" s="62"/>
      <c r="B145" s="63" t="s">
        <v>62</v>
      </c>
      <c r="C145" s="64" t="s">
        <v>108</v>
      </c>
      <c r="D145" s="65">
        <v>119000</v>
      </c>
      <c r="E145" s="65"/>
      <c r="F145" s="65">
        <v>119000</v>
      </c>
      <c r="G145" s="65">
        <v>3552</v>
      </c>
      <c r="H145" s="65"/>
      <c r="I145" s="65">
        <f t="shared" si="0"/>
        <v>122552</v>
      </c>
      <c r="J145" s="94"/>
      <c r="K145" s="94"/>
    </row>
    <row r="146" spans="1:11" s="14" customFormat="1" ht="11.25">
      <c r="A146" s="62"/>
      <c r="B146" s="63" t="s">
        <v>62</v>
      </c>
      <c r="C146" s="64" t="s">
        <v>109</v>
      </c>
      <c r="D146" s="65">
        <v>40000</v>
      </c>
      <c r="E146" s="65"/>
      <c r="F146" s="65">
        <v>40000</v>
      </c>
      <c r="G146" s="65"/>
      <c r="H146" s="65"/>
      <c r="I146" s="65">
        <f t="shared" si="0"/>
        <v>40000</v>
      </c>
      <c r="J146" s="94"/>
      <c r="K146" s="94"/>
    </row>
    <row r="147" spans="1:11" s="14" customFormat="1" ht="11.25">
      <c r="A147" s="62"/>
      <c r="B147" s="63" t="s">
        <v>62</v>
      </c>
      <c r="C147" s="64" t="s">
        <v>244</v>
      </c>
      <c r="D147" s="65"/>
      <c r="E147" s="65"/>
      <c r="F147" s="65"/>
      <c r="G147" s="65"/>
      <c r="H147" s="65">
        <f>50347-3552</f>
        <v>46795</v>
      </c>
      <c r="I147" s="65">
        <f t="shared" si="0"/>
        <v>46795</v>
      </c>
      <c r="J147" s="94" t="s">
        <v>253</v>
      </c>
      <c r="K147" s="94"/>
    </row>
    <row r="148" spans="1:12" s="14" customFormat="1" ht="11.25">
      <c r="A148" s="62"/>
      <c r="B148" s="63" t="s">
        <v>62</v>
      </c>
      <c r="C148" s="64" t="s">
        <v>43</v>
      </c>
      <c r="D148" s="65">
        <v>443776.5</v>
      </c>
      <c r="E148" s="65"/>
      <c r="F148" s="65">
        <v>443776.5</v>
      </c>
      <c r="G148" s="65"/>
      <c r="H148" s="65"/>
      <c r="I148" s="65">
        <v>443776.5</v>
      </c>
      <c r="J148" s="94"/>
      <c r="L148" s="94"/>
    </row>
    <row r="149" spans="1:9" ht="12.75">
      <c r="A149" s="69"/>
      <c r="B149" s="60" t="s">
        <v>120</v>
      </c>
      <c r="C149" s="32" t="s">
        <v>100</v>
      </c>
      <c r="D149" s="38">
        <f>SUM(D150:D152)</f>
        <v>105000</v>
      </c>
      <c r="E149" s="38"/>
      <c r="F149" s="38">
        <f>SUM(F150:F152)</f>
        <v>105000</v>
      </c>
      <c r="G149" s="38"/>
      <c r="H149" s="38"/>
      <c r="I149" s="38">
        <f>SUM(I150:I152)</f>
        <v>105000</v>
      </c>
    </row>
    <row r="150" spans="1:9" ht="12.75">
      <c r="A150" s="69"/>
      <c r="B150" s="63" t="s">
        <v>120</v>
      </c>
      <c r="C150" s="64" t="s">
        <v>175</v>
      </c>
      <c r="D150" s="65">
        <v>11000</v>
      </c>
      <c r="E150" s="65"/>
      <c r="F150" s="65">
        <v>11000</v>
      </c>
      <c r="G150" s="65"/>
      <c r="H150" s="65"/>
      <c r="I150" s="65">
        <v>11000</v>
      </c>
    </row>
    <row r="151" spans="1:9" ht="12.75">
      <c r="A151" s="69"/>
      <c r="B151" s="63" t="s">
        <v>120</v>
      </c>
      <c r="C151" s="64" t="s">
        <v>176</v>
      </c>
      <c r="D151" s="65">
        <v>11000</v>
      </c>
      <c r="E151" s="65"/>
      <c r="F151" s="65">
        <v>11000</v>
      </c>
      <c r="G151" s="65"/>
      <c r="H151" s="65"/>
      <c r="I151" s="65">
        <v>11000</v>
      </c>
    </row>
    <row r="152" spans="1:9" ht="12.75">
      <c r="A152" s="69"/>
      <c r="B152" s="63" t="s">
        <v>120</v>
      </c>
      <c r="C152" s="64" t="s">
        <v>43</v>
      </c>
      <c r="D152" s="65">
        <v>83000</v>
      </c>
      <c r="E152" s="65"/>
      <c r="F152" s="65">
        <v>83000</v>
      </c>
      <c r="G152" s="65"/>
      <c r="H152" s="65"/>
      <c r="I152" s="65">
        <v>83000</v>
      </c>
    </row>
    <row r="153" spans="1:9" ht="12.75">
      <c r="A153" s="69"/>
      <c r="B153" s="60" t="s">
        <v>81</v>
      </c>
      <c r="C153" s="32" t="s">
        <v>110</v>
      </c>
      <c r="D153" s="38">
        <v>327429</v>
      </c>
      <c r="E153" s="38"/>
      <c r="F153" s="38">
        <v>327429</v>
      </c>
      <c r="G153" s="38"/>
      <c r="H153" s="38"/>
      <c r="I153" s="38">
        <v>327429</v>
      </c>
    </row>
    <row r="154" spans="1:10" ht="12.75">
      <c r="A154" s="69"/>
      <c r="B154" s="60" t="s">
        <v>101</v>
      </c>
      <c r="C154" s="32" t="s">
        <v>102</v>
      </c>
      <c r="D154" s="38">
        <v>280000</v>
      </c>
      <c r="E154" s="38"/>
      <c r="F154" s="38">
        <v>280000</v>
      </c>
      <c r="G154" s="38"/>
      <c r="H154" s="38">
        <v>54000</v>
      </c>
      <c r="I154" s="38">
        <v>340000</v>
      </c>
      <c r="J154" s="9" t="s">
        <v>252</v>
      </c>
    </row>
    <row r="155" spans="1:10" ht="12.75">
      <c r="A155" s="69"/>
      <c r="B155" s="60" t="s">
        <v>73</v>
      </c>
      <c r="C155" s="32" t="s">
        <v>209</v>
      </c>
      <c r="D155" s="38">
        <v>0</v>
      </c>
      <c r="E155" s="38"/>
      <c r="F155" s="38">
        <v>0</v>
      </c>
      <c r="G155" s="38"/>
      <c r="H155" s="38">
        <f>19400-600</f>
        <v>18800</v>
      </c>
      <c r="I155" s="38">
        <v>18800</v>
      </c>
      <c r="J155" s="22" t="s">
        <v>246</v>
      </c>
    </row>
    <row r="156" spans="1:9" ht="12.75">
      <c r="A156" s="69"/>
      <c r="B156" s="60" t="s">
        <v>76</v>
      </c>
      <c r="C156" s="32" t="s">
        <v>123</v>
      </c>
      <c r="D156" s="38">
        <v>291000</v>
      </c>
      <c r="E156" s="38"/>
      <c r="F156" s="38">
        <v>291000</v>
      </c>
      <c r="G156" s="38"/>
      <c r="H156" s="38"/>
      <c r="I156" s="38">
        <v>291000</v>
      </c>
    </row>
    <row r="157" spans="1:9" ht="12.75">
      <c r="A157" s="69"/>
      <c r="B157" s="60" t="s">
        <v>15</v>
      </c>
      <c r="C157" s="32" t="s">
        <v>122</v>
      </c>
      <c r="D157" s="38">
        <v>231710</v>
      </c>
      <c r="E157" s="38"/>
      <c r="F157" s="38">
        <v>231710</v>
      </c>
      <c r="G157" s="38"/>
      <c r="H157" s="38"/>
      <c r="I157" s="38">
        <v>231710</v>
      </c>
    </row>
    <row r="158" spans="1:9" ht="12.75">
      <c r="A158" s="69"/>
      <c r="B158" s="60">
        <v>10700</v>
      </c>
      <c r="C158" s="32" t="s">
        <v>221</v>
      </c>
      <c r="D158" s="38">
        <v>9000</v>
      </c>
      <c r="E158" s="38"/>
      <c r="F158" s="38">
        <v>9000</v>
      </c>
      <c r="G158" s="38"/>
      <c r="H158" s="38"/>
      <c r="I158" s="38">
        <v>9000</v>
      </c>
    </row>
    <row r="159" spans="1:9" ht="12.75">
      <c r="A159" s="69"/>
      <c r="B159" s="69" t="s">
        <v>20</v>
      </c>
      <c r="C159" s="32" t="s">
        <v>44</v>
      </c>
      <c r="D159" s="38">
        <v>30000</v>
      </c>
      <c r="E159" s="38"/>
      <c r="F159" s="38">
        <v>30000</v>
      </c>
      <c r="G159" s="38"/>
      <c r="H159" s="38"/>
      <c r="I159" s="38">
        <v>30000</v>
      </c>
    </row>
    <row r="160" spans="1:9" ht="12.75">
      <c r="A160" s="69"/>
      <c r="B160" s="69"/>
      <c r="C160" s="32"/>
      <c r="D160" s="38"/>
      <c r="E160" s="38"/>
      <c r="F160" s="38"/>
      <c r="G160" s="38"/>
      <c r="H160" s="38"/>
      <c r="I160" s="38"/>
    </row>
    <row r="161" spans="1:10" s="3" customFormat="1" ht="12.75">
      <c r="A161" s="67">
        <v>6</v>
      </c>
      <c r="B161" s="67"/>
      <c r="C161" s="67" t="s">
        <v>45</v>
      </c>
      <c r="D161" s="45">
        <f aca="true" t="shared" si="1" ref="D161:I161">SUM(D163:D164)</f>
        <v>70000</v>
      </c>
      <c r="E161" s="45">
        <f t="shared" si="1"/>
        <v>43955</v>
      </c>
      <c r="F161" s="45">
        <f t="shared" si="1"/>
        <v>113955</v>
      </c>
      <c r="G161" s="45">
        <f t="shared" si="1"/>
        <v>-64212</v>
      </c>
      <c r="H161" s="45">
        <f t="shared" si="1"/>
        <v>0</v>
      </c>
      <c r="I161" s="45">
        <f t="shared" si="1"/>
        <v>49743</v>
      </c>
      <c r="J161" s="26"/>
    </row>
    <row r="162" spans="1:9" ht="12.75">
      <c r="A162" s="68"/>
      <c r="B162" s="68"/>
      <c r="C162" s="68"/>
      <c r="D162" s="38"/>
      <c r="E162" s="38"/>
      <c r="F162" s="38"/>
      <c r="G162" s="38"/>
      <c r="H162" s="38"/>
      <c r="I162" s="38"/>
    </row>
    <row r="163" spans="1:9" ht="12.75">
      <c r="A163" s="70">
        <v>60</v>
      </c>
      <c r="B163" s="70" t="s">
        <v>46</v>
      </c>
      <c r="C163" s="70" t="s">
        <v>56</v>
      </c>
      <c r="D163" s="38">
        <v>20000</v>
      </c>
      <c r="E163" s="38"/>
      <c r="F163" s="38">
        <v>20000</v>
      </c>
      <c r="G163" s="38"/>
      <c r="H163" s="38"/>
      <c r="I163" s="38">
        <v>20000</v>
      </c>
    </row>
    <row r="164" spans="1:11" ht="12.75">
      <c r="A164" s="71">
        <v>60</v>
      </c>
      <c r="B164" s="72" t="s">
        <v>26</v>
      </c>
      <c r="C164" s="73" t="s">
        <v>47</v>
      </c>
      <c r="D164" s="38">
        <f>50000</f>
        <v>50000</v>
      </c>
      <c r="E164" s="38">
        <f>13834+22981+7140</f>
        <v>43955</v>
      </c>
      <c r="F164" s="38">
        <f>D164+E164</f>
        <v>93955</v>
      </c>
      <c r="G164" s="38">
        <f>-38773-12272-9615-3552</f>
        <v>-64212</v>
      </c>
      <c r="H164" s="38"/>
      <c r="I164" s="38">
        <f>F164+G164</f>
        <v>29743</v>
      </c>
      <c r="K164" s="9"/>
    </row>
    <row r="165" spans="1:9" ht="12.75">
      <c r="A165" s="10"/>
      <c r="B165" s="11"/>
      <c r="C165" s="13"/>
      <c r="E165" s="9"/>
      <c r="F165" s="9"/>
      <c r="G165" s="9"/>
      <c r="H165" s="9"/>
      <c r="I165" s="9"/>
    </row>
    <row r="166" spans="1:9" ht="12.75">
      <c r="A166" s="10"/>
      <c r="B166" s="11"/>
      <c r="C166" s="12"/>
      <c r="E166" s="9"/>
      <c r="F166" s="9"/>
      <c r="G166" s="9"/>
      <c r="H166" s="9"/>
      <c r="I166" s="9"/>
    </row>
    <row r="167" spans="3:10" s="16" customFormat="1" ht="15.75">
      <c r="C167" s="15" t="s">
        <v>48</v>
      </c>
      <c r="D167" s="19">
        <f>D6-D33</f>
        <v>991619.8999999985</v>
      </c>
      <c r="E167" s="19"/>
      <c r="F167" s="19">
        <f>F6-F33</f>
        <v>1016619.8999999985</v>
      </c>
      <c r="G167" s="19"/>
      <c r="H167" s="19"/>
      <c r="I167" s="19">
        <f>I6-I33</f>
        <v>1202107.6999999955</v>
      </c>
      <c r="J167" s="96"/>
    </row>
    <row r="168" ht="12.75"/>
    <row r="170" ht="15">
      <c r="A170" s="4" t="s">
        <v>50</v>
      </c>
    </row>
    <row r="171" ht="15">
      <c r="A171" s="4"/>
    </row>
    <row r="172" spans="1:9" ht="25.5" customHeight="1">
      <c r="A172" s="2" t="str">
        <f>A$5</f>
        <v>Artikkel</v>
      </c>
      <c r="B172" s="2" t="str">
        <f>B$5</f>
        <v>TA</v>
      </c>
      <c r="C172" s="2" t="str">
        <f>C$5</f>
        <v>Kirjeldus</v>
      </c>
      <c r="D172" s="86" t="str">
        <f>D$5</f>
        <v>2019 eelarve</v>
      </c>
      <c r="E172" s="86"/>
      <c r="F172" s="86" t="str">
        <f>F$5</f>
        <v>2019 lõplik eelarve</v>
      </c>
      <c r="G172" s="86"/>
      <c r="H172" s="86"/>
      <c r="I172" s="86" t="str">
        <f>I$5</f>
        <v>2019 lõplik eelarve</v>
      </c>
    </row>
    <row r="173" spans="1:10" s="16" customFormat="1" ht="15.75">
      <c r="A173" s="74"/>
      <c r="B173" s="75"/>
      <c r="C173" s="75" t="s">
        <v>55</v>
      </c>
      <c r="D173" s="76">
        <f>D174-D199-D230-D232</f>
        <v>-3819339.719999999</v>
      </c>
      <c r="E173" s="76"/>
      <c r="F173" s="76">
        <f>F174-F199-F230-F232</f>
        <v>-3819339.719999999</v>
      </c>
      <c r="G173" s="76"/>
      <c r="H173" s="76"/>
      <c r="I173" s="76">
        <f>I174-I199-I230-I232</f>
        <v>-4004827.719999999</v>
      </c>
      <c r="J173" s="96"/>
    </row>
    <row r="174" spans="1:10" s="3" customFormat="1" ht="12.75">
      <c r="A174" s="67">
        <v>3</v>
      </c>
      <c r="B174" s="67"/>
      <c r="C174" s="67" t="s">
        <v>52</v>
      </c>
      <c r="D174" s="45">
        <f>SUM(D176:D188)</f>
        <v>10907596.280000001</v>
      </c>
      <c r="E174" s="45"/>
      <c r="F174" s="45">
        <f>SUM(F176:F188)</f>
        <v>10907596.280000001</v>
      </c>
      <c r="G174" s="45"/>
      <c r="H174" s="45">
        <f>SUM(H176:H188)</f>
        <v>129430</v>
      </c>
      <c r="I174" s="45">
        <f>SUM(I176:I188)</f>
        <v>11135581.280000001</v>
      </c>
      <c r="J174" s="26"/>
    </row>
    <row r="175" spans="1:9" ht="12.75">
      <c r="A175" s="29"/>
      <c r="B175" s="30"/>
      <c r="C175" s="29"/>
      <c r="D175" s="38"/>
      <c r="E175" s="38"/>
      <c r="F175" s="38"/>
      <c r="G175" s="38"/>
      <c r="H175" s="38"/>
      <c r="I175" s="38"/>
    </row>
    <row r="176" spans="1:10" s="3" customFormat="1" ht="12.75">
      <c r="A176" s="77">
        <v>3502</v>
      </c>
      <c r="B176" s="33"/>
      <c r="C176" s="33" t="s">
        <v>51</v>
      </c>
      <c r="D176" s="35">
        <f>SUM(D175:D175)</f>
        <v>0</v>
      </c>
      <c r="E176" s="35"/>
      <c r="F176" s="35">
        <f>SUM(F175:F175)</f>
        <v>0</v>
      </c>
      <c r="G176" s="35"/>
      <c r="H176" s="35"/>
      <c r="I176" s="35">
        <f>SUM(I175:I175)</f>
        <v>0</v>
      </c>
      <c r="J176" s="26"/>
    </row>
    <row r="177" spans="1:9" ht="12.75">
      <c r="A177" s="71">
        <v>3502</v>
      </c>
      <c r="B177" s="60" t="s">
        <v>57</v>
      </c>
      <c r="C177" s="81" t="s">
        <v>126</v>
      </c>
      <c r="D177" s="38">
        <v>412531.35000000003</v>
      </c>
      <c r="E177" s="38"/>
      <c r="F177" s="38">
        <v>412531.35000000003</v>
      </c>
      <c r="G177" s="38"/>
      <c r="H177" s="38"/>
      <c r="I177" s="38">
        <v>412531.35000000003</v>
      </c>
    </row>
    <row r="178" spans="1:9" ht="12.75">
      <c r="A178" s="71">
        <v>3502</v>
      </c>
      <c r="B178" s="72" t="s">
        <v>114</v>
      </c>
      <c r="C178" s="81" t="s">
        <v>79</v>
      </c>
      <c r="D178" s="38">
        <v>1324709.9300000002</v>
      </c>
      <c r="E178" s="38"/>
      <c r="F178" s="38">
        <v>1324709.9300000002</v>
      </c>
      <c r="G178" s="38"/>
      <c r="H178" s="38"/>
      <c r="I178" s="38">
        <v>1324709.9300000002</v>
      </c>
    </row>
    <row r="179" spans="1:9" ht="12.75">
      <c r="A179" s="71">
        <v>3502</v>
      </c>
      <c r="B179" s="72" t="s">
        <v>62</v>
      </c>
      <c r="C179" s="32" t="s">
        <v>171</v>
      </c>
      <c r="D179" s="38">
        <v>830000</v>
      </c>
      <c r="E179" s="38"/>
      <c r="F179" s="38">
        <v>830000</v>
      </c>
      <c r="G179" s="38"/>
      <c r="H179" s="38"/>
      <c r="I179" s="38">
        <v>830000</v>
      </c>
    </row>
    <row r="180" spans="1:9" ht="12.75">
      <c r="A180" s="71">
        <v>3502</v>
      </c>
      <c r="B180" s="72" t="s">
        <v>36</v>
      </c>
      <c r="C180" s="32" t="s">
        <v>80</v>
      </c>
      <c r="D180" s="38">
        <v>257505</v>
      </c>
      <c r="E180" s="38"/>
      <c r="F180" s="38">
        <v>257505</v>
      </c>
      <c r="G180" s="38"/>
      <c r="H180" s="38"/>
      <c r="I180" s="38">
        <v>257505</v>
      </c>
    </row>
    <row r="181" spans="1:9" ht="12.75">
      <c r="A181" s="71">
        <v>3502</v>
      </c>
      <c r="B181" s="79" t="s">
        <v>31</v>
      </c>
      <c r="C181" s="32" t="s">
        <v>172</v>
      </c>
      <c r="D181" s="37">
        <v>15600</v>
      </c>
      <c r="E181" s="37"/>
      <c r="F181" s="37">
        <v>15600</v>
      </c>
      <c r="G181" s="37"/>
      <c r="H181" s="37"/>
      <c r="I181" s="37">
        <v>15600</v>
      </c>
    </row>
    <row r="182" spans="1:9" ht="12.75">
      <c r="A182" s="71">
        <v>3502</v>
      </c>
      <c r="B182" s="79" t="s">
        <v>183</v>
      </c>
      <c r="C182" s="58" t="s">
        <v>165</v>
      </c>
      <c r="D182" s="38">
        <v>7331250</v>
      </c>
      <c r="E182" s="38"/>
      <c r="F182" s="38">
        <v>7331250</v>
      </c>
      <c r="G182" s="38"/>
      <c r="H182" s="38"/>
      <c r="I182" s="38">
        <v>7331250</v>
      </c>
    </row>
    <row r="183" spans="1:9" ht="12.75">
      <c r="A183" s="71">
        <v>3502</v>
      </c>
      <c r="B183" s="79" t="s">
        <v>183</v>
      </c>
      <c r="C183" s="58" t="s">
        <v>188</v>
      </c>
      <c r="D183" s="38">
        <v>44000</v>
      </c>
      <c r="E183" s="38"/>
      <c r="F183" s="38">
        <v>44000</v>
      </c>
      <c r="G183" s="38"/>
      <c r="H183" s="38"/>
      <c r="I183" s="38">
        <v>44000</v>
      </c>
    </row>
    <row r="184" spans="1:9" ht="12.75">
      <c r="A184" s="71">
        <v>3502</v>
      </c>
      <c r="B184" s="79" t="s">
        <v>31</v>
      </c>
      <c r="C184" s="58" t="s">
        <v>170</v>
      </c>
      <c r="D184" s="38">
        <v>280000</v>
      </c>
      <c r="E184" s="38"/>
      <c r="F184" s="38">
        <v>280000</v>
      </c>
      <c r="G184" s="38"/>
      <c r="H184" s="38"/>
      <c r="I184" s="38">
        <v>280000</v>
      </c>
    </row>
    <row r="185" spans="1:9" ht="12.75">
      <c r="A185" s="71">
        <v>3502</v>
      </c>
      <c r="B185" s="72" t="s">
        <v>62</v>
      </c>
      <c r="C185" s="58" t="s">
        <v>169</v>
      </c>
      <c r="D185" s="38">
        <v>210000</v>
      </c>
      <c r="E185" s="38"/>
      <c r="F185" s="38">
        <v>210000</v>
      </c>
      <c r="G185" s="38"/>
      <c r="H185" s="38"/>
      <c r="I185" s="38">
        <v>210000</v>
      </c>
    </row>
    <row r="186" spans="1:10" s="3" customFormat="1" ht="12.75">
      <c r="A186" s="105">
        <v>3502</v>
      </c>
      <c r="B186" s="79" t="s">
        <v>31</v>
      </c>
      <c r="C186" s="58" t="s">
        <v>262</v>
      </c>
      <c r="D186" s="35"/>
      <c r="E186" s="35"/>
      <c r="F186" s="35"/>
      <c r="G186" s="37">
        <v>98555</v>
      </c>
      <c r="H186" s="37"/>
      <c r="I186" s="37">
        <f>F186+G186+H186</f>
        <v>98555</v>
      </c>
      <c r="J186" s="26"/>
    </row>
    <row r="187" spans="1:10" s="8" customFormat="1" ht="12.75">
      <c r="A187" s="105">
        <v>3502</v>
      </c>
      <c r="B187" s="79" t="s">
        <v>158</v>
      </c>
      <c r="C187" s="58" t="s">
        <v>210</v>
      </c>
      <c r="D187" s="37"/>
      <c r="E187" s="37"/>
      <c r="F187" s="37"/>
      <c r="G187" s="37"/>
      <c r="H187" s="37">
        <v>5000</v>
      </c>
      <c r="I187" s="37">
        <f>H187</f>
        <v>5000</v>
      </c>
      <c r="J187" s="22"/>
    </row>
    <row r="188" spans="1:10" s="3" customFormat="1" ht="12.75">
      <c r="A188" s="33">
        <v>381</v>
      </c>
      <c r="B188" s="33"/>
      <c r="C188" s="33" t="s">
        <v>9</v>
      </c>
      <c r="D188" s="35">
        <f>SUM(D189:D194)</f>
        <v>202000</v>
      </c>
      <c r="E188" s="35"/>
      <c r="F188" s="35">
        <f>SUM(F189:F194)</f>
        <v>202000</v>
      </c>
      <c r="G188" s="35"/>
      <c r="H188" s="35">
        <f>SUM(H189:H198)</f>
        <v>124430</v>
      </c>
      <c r="I188" s="35">
        <f>SUM(I189:I198)</f>
        <v>326430</v>
      </c>
      <c r="J188" s="26"/>
    </row>
    <row r="189" spans="1:10" s="3" customFormat="1" ht="12.75">
      <c r="A189" s="33"/>
      <c r="B189" s="33"/>
      <c r="C189" s="32" t="s">
        <v>194</v>
      </c>
      <c r="D189" s="37">
        <v>37000</v>
      </c>
      <c r="E189" s="37"/>
      <c r="F189" s="37">
        <v>37000</v>
      </c>
      <c r="G189" s="37"/>
      <c r="H189" s="37"/>
      <c r="I189" s="37">
        <v>37000</v>
      </c>
      <c r="J189" s="26"/>
    </row>
    <row r="190" spans="1:10" s="3" customFormat="1" ht="12.75">
      <c r="A190" s="33"/>
      <c r="B190" s="33"/>
      <c r="C190" s="32" t="s">
        <v>195</v>
      </c>
      <c r="D190" s="37">
        <v>30000</v>
      </c>
      <c r="E190" s="37"/>
      <c r="F190" s="37">
        <v>30000</v>
      </c>
      <c r="G190" s="37"/>
      <c r="H190" s="37"/>
      <c r="I190" s="37">
        <v>30000</v>
      </c>
      <c r="J190" s="26"/>
    </row>
    <row r="191" spans="1:10" s="3" customFormat="1" ht="12.75">
      <c r="A191" s="33"/>
      <c r="B191" s="33"/>
      <c r="C191" s="32" t="s">
        <v>201</v>
      </c>
      <c r="D191" s="37">
        <v>5000</v>
      </c>
      <c r="E191" s="37"/>
      <c r="F191" s="37">
        <v>5000</v>
      </c>
      <c r="G191" s="37"/>
      <c r="H191" s="37"/>
      <c r="I191" s="37">
        <v>5000</v>
      </c>
      <c r="J191" s="26"/>
    </row>
    <row r="192" spans="1:10" s="3" customFormat="1" ht="12.75">
      <c r="A192" s="33"/>
      <c r="B192" s="33"/>
      <c r="C192" s="32" t="s">
        <v>197</v>
      </c>
      <c r="D192" s="37">
        <v>30000</v>
      </c>
      <c r="E192" s="37"/>
      <c r="F192" s="37">
        <v>30000</v>
      </c>
      <c r="G192" s="37"/>
      <c r="H192" s="37"/>
      <c r="I192" s="37">
        <v>30000</v>
      </c>
      <c r="J192" s="26"/>
    </row>
    <row r="193" spans="1:10" s="3" customFormat="1" ht="12.75">
      <c r="A193" s="33"/>
      <c r="B193" s="33"/>
      <c r="C193" s="32" t="s">
        <v>198</v>
      </c>
      <c r="D193" s="37">
        <v>40000</v>
      </c>
      <c r="E193" s="37"/>
      <c r="F193" s="37">
        <v>40000</v>
      </c>
      <c r="G193" s="37"/>
      <c r="H193" s="37"/>
      <c r="I193" s="37">
        <v>40000</v>
      </c>
      <c r="J193" s="26"/>
    </row>
    <row r="194" spans="1:10" s="3" customFormat="1" ht="12.75">
      <c r="A194" s="33"/>
      <c r="B194" s="33"/>
      <c r="C194" s="32" t="s">
        <v>199</v>
      </c>
      <c r="D194" s="37">
        <v>60000</v>
      </c>
      <c r="E194" s="37"/>
      <c r="F194" s="37">
        <v>60000</v>
      </c>
      <c r="G194" s="37"/>
      <c r="H194" s="37"/>
      <c r="I194" s="37">
        <v>60000</v>
      </c>
      <c r="J194" s="26"/>
    </row>
    <row r="195" spans="1:10" s="3" customFormat="1" ht="12.75">
      <c r="A195" s="33"/>
      <c r="B195" s="33"/>
      <c r="C195" s="32" t="s">
        <v>234</v>
      </c>
      <c r="D195" s="37"/>
      <c r="E195" s="37"/>
      <c r="F195" s="37"/>
      <c r="G195" s="37"/>
      <c r="H195" s="37">
        <v>19000</v>
      </c>
      <c r="I195" s="37">
        <f>F195+G195+H195</f>
        <v>19000</v>
      </c>
      <c r="J195" s="26"/>
    </row>
    <row r="196" spans="1:10" s="3" customFormat="1" ht="12.75">
      <c r="A196" s="33"/>
      <c r="B196" s="33"/>
      <c r="C196" s="32"/>
      <c r="D196" s="37"/>
      <c r="E196" s="37"/>
      <c r="F196" s="37"/>
      <c r="G196" s="37"/>
      <c r="H196" s="37"/>
      <c r="I196" s="37"/>
      <c r="J196" s="26"/>
    </row>
    <row r="197" spans="1:10" s="8" customFormat="1" ht="12.75">
      <c r="A197" s="33"/>
      <c r="B197" s="33"/>
      <c r="C197" s="32" t="s">
        <v>211</v>
      </c>
      <c r="D197" s="37"/>
      <c r="E197" s="102"/>
      <c r="F197" s="37"/>
      <c r="G197" s="37"/>
      <c r="H197" s="102">
        <v>56430</v>
      </c>
      <c r="I197" s="37">
        <f>H197</f>
        <v>56430</v>
      </c>
      <c r="J197" s="22"/>
    </row>
    <row r="198" spans="1:10" s="8" customFormat="1" ht="12.75">
      <c r="A198" s="33"/>
      <c r="B198" s="33"/>
      <c r="C198" s="32" t="s">
        <v>228</v>
      </c>
      <c r="D198" s="37"/>
      <c r="E198" s="101"/>
      <c r="F198" s="116"/>
      <c r="G198" s="37"/>
      <c r="H198" s="102">
        <v>49000</v>
      </c>
      <c r="I198" s="37">
        <f>H198</f>
        <v>49000</v>
      </c>
      <c r="J198" s="22"/>
    </row>
    <row r="199" spans="1:10" s="3" customFormat="1" ht="12.75">
      <c r="A199" s="67">
        <v>15</v>
      </c>
      <c r="B199" s="67"/>
      <c r="C199" s="78" t="s">
        <v>49</v>
      </c>
      <c r="D199" s="45">
        <f>SUM(D201:D224)</f>
        <v>14657534</v>
      </c>
      <c r="E199" s="45">
        <f>SUM(E201:E224)</f>
        <v>0</v>
      </c>
      <c r="F199" s="45">
        <f>SUM(F201:F229)</f>
        <v>14657534</v>
      </c>
      <c r="G199" s="45">
        <f>SUM(G201:G229)</f>
        <v>146943</v>
      </c>
      <c r="H199" s="45">
        <f>SUM(H201:H229)</f>
        <v>266530</v>
      </c>
      <c r="I199" s="45">
        <f>SUM(I201:I229)</f>
        <v>15071007</v>
      </c>
      <c r="J199" s="26"/>
    </row>
    <row r="200" spans="1:9" ht="12.75">
      <c r="A200" s="68"/>
      <c r="B200" s="68"/>
      <c r="C200" s="68"/>
      <c r="D200" s="38"/>
      <c r="F200" s="38"/>
      <c r="G200" s="114"/>
      <c r="I200" s="38"/>
    </row>
    <row r="201" spans="1:9" ht="12.75">
      <c r="A201" s="71">
        <v>1551</v>
      </c>
      <c r="B201" s="60" t="s">
        <v>57</v>
      </c>
      <c r="C201" s="73" t="s">
        <v>126</v>
      </c>
      <c r="D201" s="38">
        <v>535755</v>
      </c>
      <c r="E201" s="38"/>
      <c r="F201" s="38">
        <v>535755</v>
      </c>
      <c r="G201" s="38"/>
      <c r="H201" s="38"/>
      <c r="I201" s="38">
        <v>535755</v>
      </c>
    </row>
    <row r="202" spans="1:10" s="8" customFormat="1" ht="12.75">
      <c r="A202" s="80">
        <v>1551</v>
      </c>
      <c r="B202" s="72" t="s">
        <v>114</v>
      </c>
      <c r="C202" s="81" t="s">
        <v>79</v>
      </c>
      <c r="D202" s="37">
        <v>1977179</v>
      </c>
      <c r="E202" s="37"/>
      <c r="F202" s="37">
        <v>1977179</v>
      </c>
      <c r="G202" s="37"/>
      <c r="H202" s="37"/>
      <c r="I202" s="37">
        <v>1977179</v>
      </c>
      <c r="J202" s="22"/>
    </row>
    <row r="203" spans="1:10" s="8" customFormat="1" ht="12.75">
      <c r="A203" s="80">
        <v>1551</v>
      </c>
      <c r="B203" s="72" t="s">
        <v>114</v>
      </c>
      <c r="C203" s="81" t="s">
        <v>200</v>
      </c>
      <c r="D203" s="37">
        <v>105000</v>
      </c>
      <c r="E203" s="37"/>
      <c r="F203" s="37">
        <v>105000</v>
      </c>
      <c r="G203" s="37"/>
      <c r="H203" s="37">
        <v>220000</v>
      </c>
      <c r="I203" s="37">
        <f>F203+H203</f>
        <v>325000</v>
      </c>
      <c r="J203" s="22" t="s">
        <v>247</v>
      </c>
    </row>
    <row r="204" spans="1:10" s="8" customFormat="1" ht="12.75">
      <c r="A204" s="71">
        <v>1551</v>
      </c>
      <c r="B204" s="72" t="s">
        <v>62</v>
      </c>
      <c r="C204" s="32" t="s">
        <v>118</v>
      </c>
      <c r="D204" s="38">
        <v>1100000</v>
      </c>
      <c r="E204" s="38"/>
      <c r="F204" s="38">
        <v>1100000</v>
      </c>
      <c r="G204" s="38"/>
      <c r="H204" s="38"/>
      <c r="I204" s="37">
        <f aca="true" t="shared" si="2" ref="I204:I209">F204+H204</f>
        <v>1100000</v>
      </c>
      <c r="J204" s="22"/>
    </row>
    <row r="205" spans="1:10" s="8" customFormat="1" ht="12.75">
      <c r="A205" s="71">
        <v>1551</v>
      </c>
      <c r="B205" s="72" t="s">
        <v>36</v>
      </c>
      <c r="C205" s="32" t="s">
        <v>80</v>
      </c>
      <c r="D205" s="38">
        <v>345000</v>
      </c>
      <c r="E205" s="38"/>
      <c r="F205" s="38">
        <v>345000</v>
      </c>
      <c r="G205" s="38"/>
      <c r="H205" s="38"/>
      <c r="I205" s="37">
        <f t="shared" si="2"/>
        <v>345000</v>
      </c>
      <c r="J205" s="22"/>
    </row>
    <row r="206" spans="1:10" s="8" customFormat="1" ht="12.75">
      <c r="A206" s="82">
        <v>1551</v>
      </c>
      <c r="B206" s="99" t="s">
        <v>31</v>
      </c>
      <c r="C206" s="58" t="s">
        <v>128</v>
      </c>
      <c r="D206" s="37">
        <v>43000</v>
      </c>
      <c r="E206" s="37"/>
      <c r="F206" s="37">
        <v>43000</v>
      </c>
      <c r="G206" s="37"/>
      <c r="H206" s="37"/>
      <c r="I206" s="37">
        <f t="shared" si="2"/>
        <v>43000</v>
      </c>
      <c r="J206" s="22"/>
    </row>
    <row r="207" spans="1:10" s="8" customFormat="1" ht="12.75">
      <c r="A207" s="82">
        <v>1551</v>
      </c>
      <c r="B207" s="79" t="s">
        <v>158</v>
      </c>
      <c r="C207" s="58" t="s">
        <v>162</v>
      </c>
      <c r="D207" s="38">
        <v>270000</v>
      </c>
      <c r="E207" s="38"/>
      <c r="F207" s="38">
        <v>270000</v>
      </c>
      <c r="G207" s="38"/>
      <c r="H207" s="38"/>
      <c r="I207" s="37">
        <f t="shared" si="2"/>
        <v>270000</v>
      </c>
      <c r="J207" s="22"/>
    </row>
    <row r="208" spans="1:10" s="8" customFormat="1" ht="12.75">
      <c r="A208" s="82">
        <v>1551</v>
      </c>
      <c r="B208" s="79" t="s">
        <v>158</v>
      </c>
      <c r="C208" s="58" t="s">
        <v>163</v>
      </c>
      <c r="D208" s="38">
        <v>25000</v>
      </c>
      <c r="E208" s="38"/>
      <c r="F208" s="38">
        <v>25000</v>
      </c>
      <c r="G208" s="38"/>
      <c r="H208" s="38"/>
      <c r="I208" s="37">
        <f t="shared" si="2"/>
        <v>25000</v>
      </c>
      <c r="J208" s="22"/>
    </row>
    <row r="209" spans="1:10" s="8" customFormat="1" ht="12.75">
      <c r="A209" s="82">
        <v>1551</v>
      </c>
      <c r="B209" s="72" t="s">
        <v>158</v>
      </c>
      <c r="C209" s="58" t="s">
        <v>164</v>
      </c>
      <c r="D209" s="38">
        <v>25000</v>
      </c>
      <c r="E209" s="38"/>
      <c r="F209" s="38">
        <v>25000</v>
      </c>
      <c r="G209" s="38"/>
      <c r="H209" s="38">
        <v>5000</v>
      </c>
      <c r="I209" s="37">
        <f t="shared" si="2"/>
        <v>30000</v>
      </c>
      <c r="J209" s="22"/>
    </row>
    <row r="210" spans="1:10" s="8" customFormat="1" ht="12.75">
      <c r="A210" s="82">
        <v>1551</v>
      </c>
      <c r="B210" s="99" t="s">
        <v>183</v>
      </c>
      <c r="C210" s="58" t="s">
        <v>165</v>
      </c>
      <c r="D210" s="37">
        <v>8625000</v>
      </c>
      <c r="E210" s="37"/>
      <c r="F210" s="37">
        <v>8625000</v>
      </c>
      <c r="G210" s="37"/>
      <c r="H210" s="37"/>
      <c r="I210" s="37">
        <v>8625000</v>
      </c>
      <c r="J210" s="22"/>
    </row>
    <row r="211" spans="1:10" s="8" customFormat="1" ht="12.75">
      <c r="A211" s="82">
        <v>1551</v>
      </c>
      <c r="B211" s="99" t="s">
        <v>183</v>
      </c>
      <c r="C211" s="58" t="s">
        <v>188</v>
      </c>
      <c r="D211" s="37">
        <v>102000</v>
      </c>
      <c r="E211" s="37"/>
      <c r="F211" s="37">
        <v>102000</v>
      </c>
      <c r="G211" s="37"/>
      <c r="H211" s="37"/>
      <c r="I211" s="37">
        <v>102000</v>
      </c>
      <c r="J211" s="22"/>
    </row>
    <row r="212" spans="1:10" s="8" customFormat="1" ht="12.75">
      <c r="A212" s="82">
        <v>1551</v>
      </c>
      <c r="B212" s="99" t="s">
        <v>31</v>
      </c>
      <c r="C212" s="58" t="s">
        <v>166</v>
      </c>
      <c r="D212" s="37">
        <v>360000</v>
      </c>
      <c r="E212" s="37"/>
      <c r="F212" s="37">
        <v>360000</v>
      </c>
      <c r="G212" s="37"/>
      <c r="H212" s="37"/>
      <c r="I212" s="37">
        <v>360000</v>
      </c>
      <c r="J212" s="22"/>
    </row>
    <row r="213" spans="1:10" s="8" customFormat="1" ht="12.75">
      <c r="A213" s="82">
        <v>1551</v>
      </c>
      <c r="B213" s="79" t="s">
        <v>31</v>
      </c>
      <c r="C213" s="58" t="s">
        <v>167</v>
      </c>
      <c r="D213" s="38">
        <v>30000</v>
      </c>
      <c r="E213" s="38"/>
      <c r="F213" s="38">
        <v>30000</v>
      </c>
      <c r="G213" s="38"/>
      <c r="H213" s="38"/>
      <c r="I213" s="38">
        <v>30000</v>
      </c>
      <c r="J213" s="22"/>
    </row>
    <row r="214" spans="1:10" s="8" customFormat="1" ht="12.75">
      <c r="A214" s="82">
        <v>1551</v>
      </c>
      <c r="B214" s="79" t="s">
        <v>31</v>
      </c>
      <c r="C214" s="58" t="s">
        <v>170</v>
      </c>
      <c r="D214" s="38">
        <v>400000</v>
      </c>
      <c r="E214" s="38"/>
      <c r="F214" s="38">
        <v>400000</v>
      </c>
      <c r="G214" s="38"/>
      <c r="H214" s="38"/>
      <c r="I214" s="38">
        <v>400000</v>
      </c>
      <c r="J214" s="22"/>
    </row>
    <row r="215" spans="1:10" s="8" customFormat="1" ht="12.75">
      <c r="A215" s="82">
        <v>1551</v>
      </c>
      <c r="B215" s="72" t="s">
        <v>28</v>
      </c>
      <c r="C215" s="58" t="s">
        <v>168</v>
      </c>
      <c r="D215" s="38">
        <v>20000</v>
      </c>
      <c r="E215" s="38"/>
      <c r="F215" s="38">
        <v>20000</v>
      </c>
      <c r="G215" s="38"/>
      <c r="H215" s="38"/>
      <c r="I215" s="38">
        <v>20000</v>
      </c>
      <c r="J215" s="22"/>
    </row>
    <row r="216" spans="1:10" s="8" customFormat="1" ht="12.75">
      <c r="A216" s="82">
        <v>1551</v>
      </c>
      <c r="B216" s="72" t="s">
        <v>62</v>
      </c>
      <c r="C216" s="58" t="s">
        <v>169</v>
      </c>
      <c r="D216" s="38">
        <v>300000</v>
      </c>
      <c r="E216" s="38"/>
      <c r="F216" s="38">
        <v>300000</v>
      </c>
      <c r="G216" s="38"/>
      <c r="H216" s="38"/>
      <c r="I216" s="38">
        <v>300000</v>
      </c>
      <c r="J216" s="22"/>
    </row>
    <row r="217" spans="1:10" s="8" customFormat="1" ht="12.75">
      <c r="A217" s="82">
        <v>1551</v>
      </c>
      <c r="B217" s="79" t="s">
        <v>31</v>
      </c>
      <c r="C217" s="58" t="s">
        <v>173</v>
      </c>
      <c r="D217" s="59">
        <v>199600</v>
      </c>
      <c r="E217" s="101">
        <v>-99600</v>
      </c>
      <c r="F217" s="102">
        <f>D217+E217</f>
        <v>100000</v>
      </c>
      <c r="G217" s="115"/>
      <c r="H217" s="102">
        <f>8330+60000</f>
        <v>68330</v>
      </c>
      <c r="I217" s="102">
        <f aca="true" t="shared" si="3" ref="I217:I228">F217+H217</f>
        <v>168330</v>
      </c>
      <c r="J217" s="22" t="s">
        <v>230</v>
      </c>
    </row>
    <row r="218" spans="1:10" s="8" customFormat="1" ht="12.75">
      <c r="A218" s="82">
        <v>1551</v>
      </c>
      <c r="B218" s="79" t="s">
        <v>38</v>
      </c>
      <c r="C218" s="58" t="s">
        <v>212</v>
      </c>
      <c r="D218" s="59">
        <v>40000</v>
      </c>
      <c r="E218" s="59"/>
      <c r="F218" s="102">
        <f aca="true" t="shared" si="4" ref="F218:F224">D218+E218</f>
        <v>40000</v>
      </c>
      <c r="G218" s="102"/>
      <c r="H218" s="59"/>
      <c r="I218" s="102">
        <f t="shared" si="3"/>
        <v>40000</v>
      </c>
      <c r="J218" s="22"/>
    </row>
    <row r="219" spans="1:10" s="8" customFormat="1" ht="12.75">
      <c r="A219" s="82">
        <v>1551</v>
      </c>
      <c r="B219" s="79" t="s">
        <v>183</v>
      </c>
      <c r="C219" s="58" t="s">
        <v>196</v>
      </c>
      <c r="D219" s="38">
        <v>80000</v>
      </c>
      <c r="E219" s="38"/>
      <c r="F219" s="102">
        <f t="shared" si="4"/>
        <v>80000</v>
      </c>
      <c r="G219" s="102"/>
      <c r="H219" s="38">
        <v>-20000</v>
      </c>
      <c r="I219" s="102">
        <f t="shared" si="3"/>
        <v>60000</v>
      </c>
      <c r="J219" s="22"/>
    </row>
    <row r="220" spans="1:10" s="8" customFormat="1" ht="12.75">
      <c r="A220" s="82">
        <v>1551</v>
      </c>
      <c r="B220" s="79" t="s">
        <v>23</v>
      </c>
      <c r="C220" s="58" t="s">
        <v>191</v>
      </c>
      <c r="D220" s="38">
        <v>25000</v>
      </c>
      <c r="E220" s="38"/>
      <c r="F220" s="102">
        <f t="shared" si="4"/>
        <v>25000</v>
      </c>
      <c r="G220" s="102"/>
      <c r="H220" s="38">
        <v>7700</v>
      </c>
      <c r="I220" s="102">
        <f t="shared" si="3"/>
        <v>32700</v>
      </c>
      <c r="J220" s="22" t="s">
        <v>248</v>
      </c>
    </row>
    <row r="221" spans="1:10" s="8" customFormat="1" ht="12.75">
      <c r="A221" s="82">
        <v>1551</v>
      </c>
      <c r="B221" s="79">
        <v>10700</v>
      </c>
      <c r="C221" s="58" t="s">
        <v>192</v>
      </c>
      <c r="D221" s="38">
        <v>30000</v>
      </c>
      <c r="E221" s="38"/>
      <c r="F221" s="102">
        <f t="shared" si="4"/>
        <v>30000</v>
      </c>
      <c r="G221" s="102"/>
      <c r="H221" s="38">
        <v>-30000</v>
      </c>
      <c r="I221" s="102">
        <f t="shared" si="3"/>
        <v>0</v>
      </c>
      <c r="J221" s="22"/>
    </row>
    <row r="222" spans="1:11" s="8" customFormat="1" ht="12.75">
      <c r="A222" s="82">
        <v>1551</v>
      </c>
      <c r="B222" s="79" t="s">
        <v>26</v>
      </c>
      <c r="C222" s="58" t="s">
        <v>193</v>
      </c>
      <c r="D222" s="38">
        <v>20000</v>
      </c>
      <c r="E222" s="38"/>
      <c r="F222" s="102">
        <f t="shared" si="4"/>
        <v>20000</v>
      </c>
      <c r="G222" s="102"/>
      <c r="H222" s="38">
        <v>-10000</v>
      </c>
      <c r="I222" s="102">
        <f t="shared" si="3"/>
        <v>10000</v>
      </c>
      <c r="J222" s="22"/>
      <c r="K222" s="92"/>
    </row>
    <row r="223" spans="1:11" s="8" customFormat="1" ht="12.75">
      <c r="A223" s="82">
        <v>1551</v>
      </c>
      <c r="B223" s="79" t="s">
        <v>62</v>
      </c>
      <c r="C223" s="58" t="s">
        <v>205</v>
      </c>
      <c r="D223" s="38"/>
      <c r="E223" s="102">
        <f>99600-7140</f>
        <v>92460</v>
      </c>
      <c r="F223" s="102">
        <f t="shared" si="4"/>
        <v>92460</v>
      </c>
      <c r="G223" s="102"/>
      <c r="H223" s="102"/>
      <c r="I223" s="102">
        <f t="shared" si="3"/>
        <v>92460</v>
      </c>
      <c r="J223" s="22"/>
      <c r="K223" s="92"/>
    </row>
    <row r="224" spans="1:11" s="8" customFormat="1" ht="12.75">
      <c r="A224" s="82">
        <v>1551</v>
      </c>
      <c r="B224" s="79" t="s">
        <v>62</v>
      </c>
      <c r="C224" s="58" t="s">
        <v>206</v>
      </c>
      <c r="D224" s="38"/>
      <c r="E224" s="102">
        <v>7140</v>
      </c>
      <c r="F224" s="102">
        <f t="shared" si="4"/>
        <v>7140</v>
      </c>
      <c r="G224" s="102"/>
      <c r="H224" s="102"/>
      <c r="I224" s="102">
        <f t="shared" si="3"/>
        <v>7140</v>
      </c>
      <c r="J224" s="22"/>
      <c r="K224" s="92"/>
    </row>
    <row r="225" spans="1:11" s="8" customFormat="1" ht="12.75">
      <c r="A225" s="82">
        <v>1551</v>
      </c>
      <c r="B225" s="79" t="s">
        <v>158</v>
      </c>
      <c r="C225" s="58" t="s">
        <v>210</v>
      </c>
      <c r="D225" s="38"/>
      <c r="E225" s="102"/>
      <c r="F225" s="102"/>
      <c r="G225" s="102"/>
      <c r="H225" s="102">
        <v>8500</v>
      </c>
      <c r="I225" s="102">
        <f t="shared" si="3"/>
        <v>8500</v>
      </c>
      <c r="J225" s="22" t="s">
        <v>249</v>
      </c>
      <c r="K225" s="92"/>
    </row>
    <row r="226" spans="1:11" s="8" customFormat="1" ht="12.75">
      <c r="A226" s="82">
        <v>1551</v>
      </c>
      <c r="B226" s="79" t="s">
        <v>31</v>
      </c>
      <c r="C226" s="58" t="s">
        <v>262</v>
      </c>
      <c r="D226" s="38"/>
      <c r="E226" s="102"/>
      <c r="F226" s="102"/>
      <c r="G226" s="102">
        <v>137328</v>
      </c>
      <c r="H226" s="102"/>
      <c r="I226" s="102">
        <f>F226+G226+H226</f>
        <v>137328</v>
      </c>
      <c r="J226" s="22" t="s">
        <v>250</v>
      </c>
      <c r="K226" s="92"/>
    </row>
    <row r="227" spans="1:11" s="8" customFormat="1" ht="12.75">
      <c r="A227" s="82">
        <v>1551</v>
      </c>
      <c r="B227" s="79" t="s">
        <v>158</v>
      </c>
      <c r="C227" s="58" t="s">
        <v>222</v>
      </c>
      <c r="D227" s="38"/>
      <c r="E227" s="102"/>
      <c r="F227" s="102"/>
      <c r="G227" s="102"/>
      <c r="H227" s="102">
        <v>5000</v>
      </c>
      <c r="I227" s="102">
        <f t="shared" si="3"/>
        <v>5000</v>
      </c>
      <c r="J227" s="22"/>
      <c r="K227" s="92"/>
    </row>
    <row r="228" spans="1:11" s="8" customFormat="1" ht="12.75">
      <c r="A228" s="82">
        <v>1551</v>
      </c>
      <c r="B228" s="79" t="s">
        <v>38</v>
      </c>
      <c r="C228" s="58" t="s">
        <v>223</v>
      </c>
      <c r="D228" s="38"/>
      <c r="E228" s="102"/>
      <c r="F228" s="102"/>
      <c r="G228" s="102"/>
      <c r="H228" s="102">
        <v>12000</v>
      </c>
      <c r="I228" s="102">
        <f t="shared" si="3"/>
        <v>12000</v>
      </c>
      <c r="J228" s="22"/>
      <c r="K228" s="92"/>
    </row>
    <row r="229" spans="1:11" s="8" customFormat="1" ht="12.75">
      <c r="A229" s="82">
        <v>1551</v>
      </c>
      <c r="B229" s="72" t="s">
        <v>28</v>
      </c>
      <c r="C229" s="58" t="s">
        <v>232</v>
      </c>
      <c r="D229" s="38"/>
      <c r="E229" s="102"/>
      <c r="F229" s="102"/>
      <c r="G229" s="102">
        <v>9615</v>
      </c>
      <c r="H229" s="102"/>
      <c r="I229" s="102">
        <f>F229+H229+G229</f>
        <v>9615</v>
      </c>
      <c r="J229" s="22" t="s">
        <v>251</v>
      </c>
      <c r="K229" s="92"/>
    </row>
    <row r="230" spans="1:10" s="3" customFormat="1" ht="12.75">
      <c r="A230" s="78">
        <v>1502</v>
      </c>
      <c r="B230" s="78" t="s">
        <v>69</v>
      </c>
      <c r="C230" s="78" t="s">
        <v>161</v>
      </c>
      <c r="D230" s="45">
        <v>0</v>
      </c>
      <c r="E230" s="45">
        <v>0</v>
      </c>
      <c r="F230" s="45">
        <v>0</v>
      </c>
      <c r="G230" s="45"/>
      <c r="H230" s="45">
        <v>0</v>
      </c>
      <c r="I230" s="45">
        <v>0</v>
      </c>
      <c r="J230" s="26"/>
    </row>
    <row r="231" spans="1:10" s="8" customFormat="1" ht="12.75">
      <c r="A231" s="80"/>
      <c r="B231" s="72"/>
      <c r="C231" s="73"/>
      <c r="D231" s="32"/>
      <c r="E231" s="101"/>
      <c r="F231" s="101"/>
      <c r="G231" s="101"/>
      <c r="H231" s="101"/>
      <c r="I231" s="101"/>
      <c r="J231" s="22"/>
    </row>
    <row r="232" spans="1:10" s="3" customFormat="1" ht="12.75">
      <c r="A232" s="67">
        <v>6</v>
      </c>
      <c r="B232" s="67"/>
      <c r="C232" s="67" t="s">
        <v>45</v>
      </c>
      <c r="D232" s="45">
        <f>D234</f>
        <v>69402</v>
      </c>
      <c r="E232" s="45">
        <f>E234</f>
        <v>0</v>
      </c>
      <c r="F232" s="45">
        <f>F234</f>
        <v>69402</v>
      </c>
      <c r="G232" s="45"/>
      <c r="H232" s="45">
        <f>H234</f>
        <v>0</v>
      </c>
      <c r="I232" s="45">
        <f>I234</f>
        <v>69402</v>
      </c>
      <c r="J232" s="26"/>
    </row>
    <row r="233" spans="1:9" ht="12.75">
      <c r="A233" s="68"/>
      <c r="B233" s="68"/>
      <c r="C233" s="68"/>
      <c r="D233" s="38"/>
      <c r="E233" s="38"/>
      <c r="F233" s="38"/>
      <c r="G233" s="38"/>
      <c r="H233" s="38"/>
      <c r="I233" s="38"/>
    </row>
    <row r="234" spans="1:9" ht="12.75">
      <c r="A234" s="83">
        <v>6501</v>
      </c>
      <c r="B234" s="72" t="s">
        <v>46</v>
      </c>
      <c r="C234" s="73" t="s">
        <v>65</v>
      </c>
      <c r="D234" s="38">
        <v>69402</v>
      </c>
      <c r="E234" s="38"/>
      <c r="F234" s="38">
        <v>69402</v>
      </c>
      <c r="G234" s="38"/>
      <c r="H234" s="38"/>
      <c r="I234" s="38">
        <v>69402</v>
      </c>
    </row>
    <row r="235" spans="1:3" ht="12.75">
      <c r="A235" s="10"/>
      <c r="B235" s="11"/>
      <c r="C235" s="13"/>
    </row>
    <row r="236" spans="1:3" ht="12.75">
      <c r="A236" s="10"/>
      <c r="B236" s="11"/>
      <c r="C236" s="12"/>
    </row>
    <row r="237" spans="1:10" s="16" customFormat="1" ht="15.75">
      <c r="A237" s="17"/>
      <c r="B237" s="18"/>
      <c r="C237" s="15" t="s">
        <v>78</v>
      </c>
      <c r="D237" s="19">
        <f>D167+D173</f>
        <v>-2827719.8200000003</v>
      </c>
      <c r="E237" s="19">
        <f>E167+E173</f>
        <v>0</v>
      </c>
      <c r="F237" s="19">
        <f>F167+F173</f>
        <v>-2802719.8200000003</v>
      </c>
      <c r="G237" s="19"/>
      <c r="H237" s="19">
        <f>H167+H173</f>
        <v>0</v>
      </c>
      <c r="I237" s="19">
        <f>I167+I173</f>
        <v>-2802720.0200000033</v>
      </c>
      <c r="J237" s="96"/>
    </row>
    <row r="238" spans="1:3" ht="12.75">
      <c r="A238" s="5"/>
      <c r="B238" s="6"/>
      <c r="C238" s="7"/>
    </row>
    <row r="240" ht="15">
      <c r="A240" s="4" t="s">
        <v>54</v>
      </c>
    </row>
    <row r="241" ht="15">
      <c r="A241" s="4"/>
    </row>
    <row r="242" spans="1:10" s="3" customFormat="1" ht="12.75">
      <c r="A242" s="84" t="s">
        <v>59</v>
      </c>
      <c r="B242" s="85"/>
      <c r="C242" s="34" t="s">
        <v>53</v>
      </c>
      <c r="D242" s="35">
        <v>-497280</v>
      </c>
      <c r="E242" s="35"/>
      <c r="F242" s="35">
        <v>-497280</v>
      </c>
      <c r="G242" s="35"/>
      <c r="H242" s="35"/>
      <c r="I242" s="35">
        <v>-497280</v>
      </c>
      <c r="J242" s="26"/>
    </row>
    <row r="243" spans="1:10" s="3" customFormat="1" ht="12.75">
      <c r="A243" s="84" t="s">
        <v>60</v>
      </c>
      <c r="B243" s="85"/>
      <c r="C243" s="34" t="s">
        <v>61</v>
      </c>
      <c r="D243" s="35">
        <f>3125000+200000</f>
        <v>3325000</v>
      </c>
      <c r="E243" s="35">
        <v>-25000</v>
      </c>
      <c r="F243" s="35">
        <f>D243+E243</f>
        <v>3300000</v>
      </c>
      <c r="G243" s="35"/>
      <c r="H243" s="35"/>
      <c r="I243" s="35">
        <f>F243+H243</f>
        <v>3300000</v>
      </c>
      <c r="J243" s="26"/>
    </row>
    <row r="245" spans="3:9" ht="12.75">
      <c r="C245" s="8"/>
      <c r="D245" s="91"/>
      <c r="F245" s="100">
        <f>F237+F242+F243</f>
        <v>0.17999999970197678</v>
      </c>
      <c r="I245" s="119">
        <f>I237+I242+I243</f>
        <v>-0.020000003278255463</v>
      </c>
    </row>
    <row r="250" ht="12.75">
      <c r="D250" s="92"/>
    </row>
    <row r="251" ht="12.75">
      <c r="D251" s="92"/>
    </row>
    <row r="252" ht="12.75">
      <c r="D252" s="92"/>
    </row>
    <row r="253" ht="12.75">
      <c r="D253" s="8"/>
    </row>
    <row r="254" ht="12.75">
      <c r="D254" s="92"/>
    </row>
    <row r="255" ht="12.75">
      <c r="D255" s="93"/>
    </row>
    <row r="256" ht="12.75">
      <c r="D256" s="92"/>
    </row>
  </sheetData>
  <sheetProtection/>
  <printOptions horizontalCentered="1"/>
  <pageMargins left="0.1968503937007874" right="0.1968503937007874" top="0.5905511811023623" bottom="0.5905511811023623" header="0.5118110236220472" footer="0.5118110236220472"/>
  <pageSetup fitToHeight="7" horizontalDpi="300" verticalDpi="300" orientation="landscape" paperSize="8" scale="92" r:id="rId3"/>
  <legacyDrawing r:id="rId2"/>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A1" sqref="A1"/>
    </sheetView>
  </sheetViews>
  <sheetFormatPr defaultColWidth="9.140625" defaultRowHeight="12.75"/>
  <cols>
    <col min="1" max="1" width="7.7109375" style="0" customWidth="1"/>
    <col min="2" max="2" width="6.00390625" style="0" bestFit="1" customWidth="1"/>
    <col min="3" max="3" width="41.421875" style="0" customWidth="1"/>
    <col min="4" max="4" width="10.57421875" style="9" customWidth="1"/>
    <col min="5" max="6" width="10.57421875" style="100" customWidth="1"/>
    <col min="7" max="7" width="12.140625" style="9" bestFit="1" customWidth="1"/>
    <col min="8" max="8" width="11.7109375" style="9" bestFit="1" customWidth="1"/>
    <col min="9" max="9" width="9.140625" style="9" customWidth="1"/>
    <col min="10" max="10" width="10.140625" style="0" bestFit="1" customWidth="1"/>
  </cols>
  <sheetData>
    <row r="1" ht="15.75">
      <c r="A1" s="16" t="s">
        <v>207</v>
      </c>
    </row>
    <row r="2" spans="1:11" ht="38.25" customHeight="1">
      <c r="A2" s="29" t="s">
        <v>0</v>
      </c>
      <c r="B2" s="30" t="s">
        <v>153</v>
      </c>
      <c r="C2" s="29" t="s">
        <v>1</v>
      </c>
      <c r="D2" s="86" t="s">
        <v>202</v>
      </c>
      <c r="E2" s="86" t="s">
        <v>203</v>
      </c>
      <c r="F2" s="86" t="s">
        <v>204</v>
      </c>
      <c r="K2" s="8"/>
    </row>
    <row r="3" spans="1:6" ht="12.75">
      <c r="A3" s="39">
        <v>35200</v>
      </c>
      <c r="B3" s="36"/>
      <c r="C3" s="36" t="s">
        <v>104</v>
      </c>
      <c r="D3" s="38">
        <v>5243415</v>
      </c>
      <c r="E3" s="38">
        <v>47981</v>
      </c>
      <c r="F3" s="38">
        <f aca="true" t="shared" si="0" ref="F3:F9">D3+E3</f>
        <v>5291396</v>
      </c>
    </row>
    <row r="4" spans="1:6" ht="12.75">
      <c r="A4" s="39">
        <v>35201</v>
      </c>
      <c r="B4" s="36"/>
      <c r="C4" s="36" t="s">
        <v>103</v>
      </c>
      <c r="D4" s="38">
        <v>406872</v>
      </c>
      <c r="E4" s="38">
        <v>20974</v>
      </c>
      <c r="F4" s="38">
        <f t="shared" si="0"/>
        <v>427846</v>
      </c>
    </row>
    <row r="5" spans="1:6" ht="12.75">
      <c r="A5" s="71">
        <v>60</v>
      </c>
      <c r="B5" s="72" t="s">
        <v>26</v>
      </c>
      <c r="C5" s="73" t="s">
        <v>47</v>
      </c>
      <c r="D5" s="38">
        <f>50000+17000</f>
        <v>67000</v>
      </c>
      <c r="E5" s="38">
        <f>13834+22981+7140</f>
        <v>43955</v>
      </c>
      <c r="F5" s="38">
        <f t="shared" si="0"/>
        <v>110955</v>
      </c>
    </row>
    <row r="6" spans="1:9" s="8" customFormat="1" ht="12.75">
      <c r="A6" s="82">
        <v>1551</v>
      </c>
      <c r="B6" s="79" t="s">
        <v>31</v>
      </c>
      <c r="C6" s="58" t="s">
        <v>173</v>
      </c>
      <c r="D6" s="59">
        <v>199600</v>
      </c>
      <c r="E6" s="101">
        <v>-99600</v>
      </c>
      <c r="F6" s="102">
        <f t="shared" si="0"/>
        <v>100000</v>
      </c>
      <c r="G6" s="22"/>
      <c r="H6" s="22"/>
      <c r="I6" s="22"/>
    </row>
    <row r="7" spans="1:10" s="8" customFormat="1" ht="12.75">
      <c r="A7" s="82">
        <v>1551</v>
      </c>
      <c r="B7" s="79" t="s">
        <v>62</v>
      </c>
      <c r="C7" s="58" t="s">
        <v>205</v>
      </c>
      <c r="D7" s="38"/>
      <c r="E7" s="102">
        <f>99600-7140</f>
        <v>92460</v>
      </c>
      <c r="F7" s="102">
        <f t="shared" si="0"/>
        <v>92460</v>
      </c>
      <c r="G7" s="22"/>
      <c r="H7" s="22"/>
      <c r="I7" s="22"/>
      <c r="J7" s="92"/>
    </row>
    <row r="8" spans="1:10" s="8" customFormat="1" ht="12.75">
      <c r="A8" s="82">
        <v>1551</v>
      </c>
      <c r="B8" s="79" t="s">
        <v>62</v>
      </c>
      <c r="C8" s="58" t="s">
        <v>206</v>
      </c>
      <c r="D8" s="38"/>
      <c r="E8" s="102">
        <v>7140</v>
      </c>
      <c r="F8" s="102">
        <f t="shared" si="0"/>
        <v>7140</v>
      </c>
      <c r="G8" s="22"/>
      <c r="H8" s="22"/>
      <c r="I8" s="22"/>
      <c r="J8" s="92"/>
    </row>
    <row r="9" spans="1:9" s="8" customFormat="1" ht="12.75">
      <c r="A9" s="103" t="s">
        <v>60</v>
      </c>
      <c r="B9" s="104"/>
      <c r="C9" s="58" t="s">
        <v>61</v>
      </c>
      <c r="D9" s="37">
        <f>3125000+200000</f>
        <v>3325000</v>
      </c>
      <c r="E9" s="37">
        <v>-25000</v>
      </c>
      <c r="F9" s="37">
        <f t="shared" si="0"/>
        <v>3300000</v>
      </c>
      <c r="G9" s="22"/>
      <c r="H9" s="22"/>
      <c r="I9" s="22"/>
    </row>
    <row r="11" spans="3:4" ht="12.75">
      <c r="C11" s="8"/>
      <c r="D11" s="91"/>
    </row>
    <row r="16" ht="12.75">
      <c r="D16" s="92"/>
    </row>
    <row r="17" ht="12.75">
      <c r="D17" s="92"/>
    </row>
    <row r="18" ht="12.75">
      <c r="D18" s="92"/>
    </row>
    <row r="19" ht="12.75">
      <c r="D19" s="8"/>
    </row>
    <row r="20" ht="12.75">
      <c r="D20" s="92"/>
    </row>
    <row r="21" ht="12.75">
      <c r="D21" s="93"/>
    </row>
    <row r="22" ht="12.75">
      <c r="D22" s="92"/>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1"/>
  <sheetViews>
    <sheetView zoomScalePageLayoutView="0" workbookViewId="0" topLeftCell="A1">
      <selection activeCell="C17" sqref="C17"/>
    </sheetView>
  </sheetViews>
  <sheetFormatPr defaultColWidth="9.140625" defaultRowHeight="12.75"/>
  <cols>
    <col min="1" max="1" width="5.7109375" style="0" customWidth="1"/>
    <col min="2" max="2" width="6.00390625" style="0" bestFit="1" customWidth="1"/>
    <col min="3" max="3" width="45.140625" style="0" customWidth="1"/>
    <col min="4" max="4" width="14.8515625" style="9" hidden="1" customWidth="1"/>
    <col min="5" max="5" width="14.8515625" style="100" hidden="1" customWidth="1"/>
    <col min="6" max="8" width="12.57421875" style="100" customWidth="1"/>
    <col min="9" max="9" width="9.140625" style="9" customWidth="1"/>
    <col min="10" max="10" width="10.140625" style="0" bestFit="1" customWidth="1"/>
  </cols>
  <sheetData>
    <row r="1" spans="1:4" ht="15.75">
      <c r="A1" s="1" t="s">
        <v>218</v>
      </c>
      <c r="D1" s="22"/>
    </row>
    <row r="2" ht="12.75">
      <c r="D2" s="22"/>
    </row>
    <row r="3" spans="1:4" ht="15">
      <c r="A3" s="4"/>
      <c r="D3" s="22"/>
    </row>
    <row r="4" spans="1:4" ht="15">
      <c r="A4" s="4"/>
      <c r="D4" s="22"/>
    </row>
    <row r="7" spans="1:8" ht="38.25">
      <c r="A7" s="113" t="s">
        <v>0</v>
      </c>
      <c r="B7" s="113" t="s">
        <v>153</v>
      </c>
      <c r="C7" s="113" t="s">
        <v>1</v>
      </c>
      <c r="D7" s="108" t="s">
        <v>202</v>
      </c>
      <c r="E7" s="109" t="s">
        <v>203</v>
      </c>
      <c r="F7" s="86" t="s">
        <v>215</v>
      </c>
      <c r="G7" s="86" t="s">
        <v>216</v>
      </c>
      <c r="H7" s="86" t="s">
        <v>217</v>
      </c>
    </row>
    <row r="8" spans="1:8" ht="12.75">
      <c r="A8" s="106">
        <v>60</v>
      </c>
      <c r="B8" s="106" t="s">
        <v>26</v>
      </c>
      <c r="C8" s="111" t="s">
        <v>47</v>
      </c>
      <c r="D8" s="110">
        <v>50000</v>
      </c>
      <c r="E8" s="107">
        <v>43955</v>
      </c>
      <c r="F8" s="107">
        <v>93955</v>
      </c>
      <c r="G8" s="107">
        <v>-51045</v>
      </c>
      <c r="H8" s="107">
        <v>42910</v>
      </c>
    </row>
    <row r="9" spans="1:8" ht="12.75">
      <c r="A9" s="106">
        <v>55</v>
      </c>
      <c r="B9" s="106" t="s">
        <v>28</v>
      </c>
      <c r="C9" s="111" t="s">
        <v>105</v>
      </c>
      <c r="D9" s="110">
        <v>34000</v>
      </c>
      <c r="E9" s="107"/>
      <c r="F9" s="107">
        <v>34000</v>
      </c>
      <c r="G9" s="107">
        <v>12272</v>
      </c>
      <c r="H9" s="107">
        <v>46272</v>
      </c>
    </row>
    <row r="10" spans="1:8" ht="25.5">
      <c r="A10" s="106">
        <v>1551</v>
      </c>
      <c r="B10" s="106" t="s">
        <v>31</v>
      </c>
      <c r="C10" s="112" t="s">
        <v>214</v>
      </c>
      <c r="D10" s="108"/>
      <c r="E10" s="107"/>
      <c r="F10" s="107">
        <v>0</v>
      </c>
      <c r="G10" s="107">
        <v>38773</v>
      </c>
      <c r="H10" s="107">
        <v>38773</v>
      </c>
    </row>
    <row r="11" ht="12.75">
      <c r="D11" s="92"/>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12"/>
  <sheetViews>
    <sheetView zoomScalePageLayoutView="0" workbookViewId="0" topLeftCell="A1">
      <selection activeCell="B1" sqref="B1:F12"/>
    </sheetView>
  </sheetViews>
  <sheetFormatPr defaultColWidth="9.140625" defaultRowHeight="12.75"/>
  <cols>
    <col min="2" max="2" width="50.00390625" style="0" customWidth="1"/>
  </cols>
  <sheetData>
    <row r="1" spans="2:5" s="3" customFormat="1" ht="12.75">
      <c r="B1" s="3" t="s">
        <v>136</v>
      </c>
      <c r="C1" s="3" t="s">
        <v>133</v>
      </c>
      <c r="D1" s="26" t="s">
        <v>134</v>
      </c>
      <c r="E1" s="3" t="s">
        <v>135</v>
      </c>
    </row>
    <row r="2" spans="2:6" ht="12.75">
      <c r="B2" s="8" t="s">
        <v>127</v>
      </c>
      <c r="C2" s="22">
        <v>4000</v>
      </c>
      <c r="D2" s="22">
        <f>C2*0.4</f>
        <v>1600</v>
      </c>
      <c r="E2" s="22">
        <f>C2-D2</f>
        <v>2400</v>
      </c>
      <c r="F2" s="8"/>
    </row>
    <row r="3" spans="2:6" ht="12.75">
      <c r="B3" s="8" t="s">
        <v>128</v>
      </c>
      <c r="C3" s="22">
        <v>35000</v>
      </c>
      <c r="D3" s="22">
        <f>C3*0.4</f>
        <v>14000</v>
      </c>
      <c r="E3" s="22">
        <f>C3-D3</f>
        <v>21000</v>
      </c>
      <c r="F3" s="8"/>
    </row>
    <row r="4" spans="2:6" ht="12.75">
      <c r="B4" s="8" t="s">
        <v>129</v>
      </c>
      <c r="C4" s="22">
        <v>6000</v>
      </c>
      <c r="D4" s="22"/>
      <c r="E4" s="8"/>
      <c r="F4" s="8" t="s">
        <v>130</v>
      </c>
    </row>
    <row r="5" spans="2:6" ht="12.75">
      <c r="B5" s="8"/>
      <c r="C5" s="22">
        <f>SUM(C2:C4)</f>
        <v>45000</v>
      </c>
      <c r="D5" s="23"/>
      <c r="E5" s="24"/>
      <c r="F5" s="8"/>
    </row>
    <row r="6" spans="2:6" ht="12.75">
      <c r="B6" s="8"/>
      <c r="C6" s="22"/>
      <c r="D6" s="22"/>
      <c r="E6" s="22"/>
      <c r="F6" s="8"/>
    </row>
    <row r="7" spans="2:6" ht="12.75">
      <c r="B7" s="8"/>
      <c r="C7" s="22"/>
      <c r="D7" s="22"/>
      <c r="E7" s="8"/>
      <c r="F7" s="8"/>
    </row>
    <row r="8" spans="2:6" ht="12.75">
      <c r="B8" s="8"/>
      <c r="C8" s="22"/>
      <c r="D8" s="22"/>
      <c r="E8" s="8"/>
      <c r="F8" s="8"/>
    </row>
    <row r="9" spans="2:6" ht="15">
      <c r="B9" s="25" t="s">
        <v>131</v>
      </c>
      <c r="C9" s="22">
        <v>10000</v>
      </c>
      <c r="D9" s="22"/>
      <c r="E9" s="8"/>
      <c r="F9" s="8"/>
    </row>
    <row r="10" spans="2:6" ht="15">
      <c r="B10" s="25" t="s">
        <v>132</v>
      </c>
      <c r="C10" s="22">
        <v>10000</v>
      </c>
      <c r="D10" s="22"/>
      <c r="F10" s="8"/>
    </row>
    <row r="11" spans="2:6" ht="12.75">
      <c r="B11" s="8"/>
      <c r="C11" s="8"/>
      <c r="D11" s="22"/>
      <c r="E11" s="8"/>
      <c r="F11" s="8"/>
    </row>
    <row r="12" spans="2:5" ht="12.75">
      <c r="B12" s="8" t="s">
        <v>144</v>
      </c>
      <c r="C12" s="9">
        <f>C2+C3</f>
        <v>39000</v>
      </c>
      <c r="D12" s="22">
        <f>SUM(D2:D9)</f>
        <v>15600</v>
      </c>
      <c r="E12" s="22">
        <f>SUM(E2:E9)</f>
        <v>23400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C7"/>
  <sheetViews>
    <sheetView zoomScalePageLayoutView="0" workbookViewId="0" topLeftCell="A1">
      <selection activeCell="B1" sqref="B1:C7"/>
    </sheetView>
  </sheetViews>
  <sheetFormatPr defaultColWidth="9.140625" defaultRowHeight="12.75"/>
  <cols>
    <col min="1" max="1" width="5.28125" style="0" customWidth="1"/>
    <col min="2" max="2" width="88.57421875" style="0" customWidth="1"/>
    <col min="3" max="3" width="44.28125" style="0" customWidth="1"/>
  </cols>
  <sheetData>
    <row r="1" spans="2:3" ht="45">
      <c r="B1" s="27" t="s">
        <v>137</v>
      </c>
      <c r="C1" s="20" t="s">
        <v>143</v>
      </c>
    </row>
    <row r="2" ht="15">
      <c r="B2" s="28"/>
    </row>
    <row r="3" spans="2:3" ht="45">
      <c r="B3" s="27" t="s">
        <v>138</v>
      </c>
      <c r="C3" s="8" t="s">
        <v>145</v>
      </c>
    </row>
    <row r="4" ht="15">
      <c r="B4" s="28"/>
    </row>
    <row r="5" spans="2:3" ht="30">
      <c r="B5" s="27" t="s">
        <v>139</v>
      </c>
      <c r="C5" s="8" t="s">
        <v>141</v>
      </c>
    </row>
    <row r="6" ht="15">
      <c r="B6" s="28"/>
    </row>
    <row r="7" spans="2:3" ht="30">
      <c r="B7" s="27" t="s">
        <v>140</v>
      </c>
      <c r="C7" s="8" t="s">
        <v>142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Reet Pikkpõld</cp:lastModifiedBy>
  <cp:lastPrinted>2019-07-25T08:45:22Z</cp:lastPrinted>
  <dcterms:created xsi:type="dcterms:W3CDTF">2012-02-08T23:47:30Z</dcterms:created>
  <dcterms:modified xsi:type="dcterms:W3CDTF">2019-11-22T08:03:23Z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0x010100301167EE7F566F4ABB959E6166FFBC1E</vt:lpwstr>
  </property>
</Properties>
</file>